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l/fgR+f4MYRshlT/ySjdr+R7yF0dpbDiLVatDnatOU6YgIf/lSWjcZlnk/QMhzJ3Gr1s7wuEoN75OT5Qm8/WNA==" workbookSaltValue="sIZV2UElxYrTxS1Kax1mqA==" workbookSpinCount="100000" lockStructure="1"/>
  <bookViews>
    <workbookView xWindow="0" yWindow="0" windowWidth="20490" windowHeight="7650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_xlnm.Print_Area" localSheetId="1">'Видимый верхний трек'!$A$3:$J$37</definedName>
    <definedName name="_xlnm.Print_Area" localSheetId="2">'Скрытый верхний трек, корпус'!$A$2:$J$40</definedName>
    <definedName name="_xlnm.Print_Area" localSheetId="3">'Скрытый верхний трек, проем'!$A$2:$J$44</definedName>
  </definedNames>
  <calcPr calcId="162913"/>
</workbook>
</file>

<file path=xl/calcChain.xml><?xml version="1.0" encoding="utf-8"?>
<calcChain xmlns="http://schemas.openxmlformats.org/spreadsheetml/2006/main">
  <c r="I36" i="5" l="1"/>
  <c r="I35" i="4"/>
  <c r="J20" i="5" l="1"/>
  <c r="I20" i="5"/>
  <c r="J20" i="4"/>
  <c r="I20" i="4"/>
  <c r="J21" i="1"/>
  <c r="I20" i="1"/>
  <c r="B10" i="5" l="1"/>
  <c r="B10" i="4"/>
  <c r="B10" i="1"/>
  <c r="I29" i="1" l="1"/>
  <c r="I29" i="4"/>
  <c r="J24" i="1" l="1"/>
  <c r="J23" i="1"/>
  <c r="J22" i="1"/>
  <c r="I22" i="1"/>
  <c r="J19" i="1"/>
  <c r="J18" i="1"/>
  <c r="J24" i="4"/>
  <c r="J23" i="4"/>
  <c r="I36" i="4" s="1"/>
  <c r="J22" i="4"/>
  <c r="I22" i="4"/>
  <c r="J21" i="4"/>
  <c r="J19" i="4"/>
  <c r="J18" i="4"/>
  <c r="J19" i="5"/>
  <c r="J18" i="5"/>
  <c r="G23" i="1" l="1"/>
  <c r="H23" i="1" s="1"/>
  <c r="I36" i="1"/>
  <c r="G22" i="1"/>
  <c r="H22" i="1" s="1"/>
  <c r="I29" i="5"/>
  <c r="J21" i="5" l="1"/>
  <c r="J24" i="5" l="1"/>
  <c r="J22" i="5"/>
  <c r="I22" i="5"/>
  <c r="J23" i="5"/>
  <c r="I37" i="5" s="1"/>
  <c r="G22" i="5" l="1"/>
  <c r="H22" i="5" s="1"/>
  <c r="J7" i="4"/>
  <c r="G37" i="5" l="1"/>
  <c r="H37" i="5" s="1"/>
  <c r="G36" i="4"/>
  <c r="H36" i="4" s="1"/>
  <c r="G36" i="1" l="1"/>
  <c r="H36" i="1" s="1"/>
  <c r="I28" i="5" l="1"/>
  <c r="G28" i="5" s="1"/>
  <c r="H28" i="5" s="1"/>
  <c r="I28" i="4"/>
  <c r="G28" i="4" s="1"/>
  <c r="I14" i="4"/>
  <c r="I14" i="5"/>
  <c r="I15" i="5"/>
  <c r="J7" i="5"/>
  <c r="I14" i="1"/>
  <c r="I15" i="1"/>
  <c r="G15" i="1" s="1"/>
  <c r="H15" i="1" s="1"/>
  <c r="J7" i="1"/>
  <c r="I31" i="5"/>
  <c r="G31" i="5" s="1"/>
  <c r="H31" i="5" s="1"/>
  <c r="I30" i="5"/>
  <c r="G30" i="5" s="1"/>
  <c r="H30" i="5" s="1"/>
  <c r="G23" i="5"/>
  <c r="H23" i="5" s="1"/>
  <c r="J17" i="5"/>
  <c r="J16" i="5"/>
  <c r="I34" i="5" s="1"/>
  <c r="J8" i="5"/>
  <c r="I31" i="4"/>
  <c r="G31" i="4" s="1"/>
  <c r="H31" i="4" s="1"/>
  <c r="I30" i="4"/>
  <c r="G30" i="4" s="1"/>
  <c r="H30" i="4" s="1"/>
  <c r="G23" i="4"/>
  <c r="H23" i="4" s="1"/>
  <c r="J17" i="4"/>
  <c r="J16" i="4"/>
  <c r="I32" i="4" s="1"/>
  <c r="I15" i="4"/>
  <c r="J8" i="4"/>
  <c r="I24" i="4" s="1"/>
  <c r="I32" i="5" l="1"/>
  <c r="I24" i="5"/>
  <c r="G24" i="5" s="1"/>
  <c r="H24" i="5" s="1"/>
  <c r="I27" i="5"/>
  <c r="G27" i="5" s="1"/>
  <c r="H27" i="5" s="1"/>
  <c r="I27" i="4"/>
  <c r="G27" i="4" s="1"/>
  <c r="H27" i="4" s="1"/>
  <c r="G22" i="4"/>
  <c r="H22" i="4" s="1"/>
  <c r="G14" i="5"/>
  <c r="G14" i="1"/>
  <c r="G14" i="4"/>
  <c r="J10" i="4"/>
  <c r="G16" i="5"/>
  <c r="H16" i="5" s="1"/>
  <c r="G34" i="5"/>
  <c r="H34" i="5" s="1"/>
  <c r="I33" i="4"/>
  <c r="G33" i="4" s="1"/>
  <c r="H33" i="4" s="1"/>
  <c r="G15" i="4"/>
  <c r="H15" i="4" s="1"/>
  <c r="G16" i="4"/>
  <c r="G24" i="4"/>
  <c r="H24" i="4" s="1"/>
  <c r="H28" i="4"/>
  <c r="J10" i="5"/>
  <c r="I33" i="5"/>
  <c r="G33" i="5" s="1"/>
  <c r="H33" i="5" s="1"/>
  <c r="G15" i="5"/>
  <c r="H15" i="5" s="1"/>
  <c r="I16" i="5"/>
  <c r="G32" i="5"/>
  <c r="H32" i="5" s="1"/>
  <c r="I16" i="4"/>
  <c r="G35" i="4" s="1"/>
  <c r="H35" i="4" s="1"/>
  <c r="G32" i="4"/>
  <c r="I17" i="5"/>
  <c r="I19" i="5" s="1"/>
  <c r="J11" i="5"/>
  <c r="I17" i="4"/>
  <c r="J11" i="4"/>
  <c r="G36" i="5" l="1"/>
  <c r="H36" i="5" s="1"/>
  <c r="G17" i="4"/>
  <c r="H17" i="4" s="1"/>
  <c r="I18" i="4"/>
  <c r="I21" i="4"/>
  <c r="I37" i="4" s="1"/>
  <c r="G37" i="4" s="1"/>
  <c r="H37" i="4" s="1"/>
  <c r="I19" i="4"/>
  <c r="G17" i="5"/>
  <c r="H17" i="5" s="1"/>
  <c r="G19" i="5"/>
  <c r="H19" i="5" s="1"/>
  <c r="I18" i="5"/>
  <c r="G18" i="5" s="1"/>
  <c r="I21" i="5"/>
  <c r="I38" i="5" s="1"/>
  <c r="H14" i="1"/>
  <c r="H14" i="4"/>
  <c r="H14" i="5"/>
  <c r="H32" i="4"/>
  <c r="H16" i="4"/>
  <c r="I35" i="5"/>
  <c r="G35" i="5" s="1"/>
  <c r="H35" i="5" s="1"/>
  <c r="I34" i="4"/>
  <c r="G34" i="4" s="1"/>
  <c r="G21" i="4"/>
  <c r="H21" i="4" s="1"/>
  <c r="G21" i="5" l="1"/>
  <c r="H21" i="5" s="1"/>
  <c r="G38" i="5"/>
  <c r="H38" i="5" s="1"/>
  <c r="H34" i="4"/>
  <c r="H18" i="5"/>
  <c r="I30" i="1"/>
  <c r="G30" i="1" s="1"/>
  <c r="H30" i="1" s="1"/>
  <c r="I28" i="1"/>
  <c r="G28" i="1" s="1"/>
  <c r="H28" i="1" s="1"/>
  <c r="I32" i="1" l="1"/>
  <c r="G32" i="1" s="1"/>
  <c r="H32" i="1" s="1"/>
  <c r="J17" i="1" l="1"/>
  <c r="J16" i="1"/>
  <c r="I33" i="1" l="1"/>
  <c r="I31" i="1"/>
  <c r="G31" i="1" s="1"/>
  <c r="G16" i="1"/>
  <c r="G33" i="1"/>
  <c r="H33" i="1" s="1"/>
  <c r="J8" i="1"/>
  <c r="J20" i="1" s="1"/>
  <c r="I27" i="1" l="1"/>
  <c r="G27" i="1" s="1"/>
  <c r="H27" i="1" s="1"/>
  <c r="I24" i="1"/>
  <c r="H16" i="1"/>
  <c r="H31" i="1"/>
  <c r="I16" i="1"/>
  <c r="J10" i="1"/>
  <c r="I17" i="1"/>
  <c r="J11" i="1"/>
  <c r="G24" i="1" l="1"/>
  <c r="H24" i="1" s="1"/>
  <c r="I35" i="1"/>
  <c r="I19" i="1"/>
  <c r="I21" i="1"/>
  <c r="I18" i="1"/>
  <c r="G17" i="1"/>
  <c r="G35" i="1"/>
  <c r="I34" i="1"/>
  <c r="G34" i="1" s="1"/>
  <c r="H34" i="1" s="1"/>
  <c r="G21" i="1" l="1"/>
  <c r="H21" i="1" s="1"/>
  <c r="I37" i="1"/>
  <c r="G37" i="1" s="1"/>
  <c r="H37" i="1" s="1"/>
  <c r="H17" i="1"/>
  <c r="H35" i="1"/>
</calcChain>
</file>

<file path=xl/sharedStrings.xml><?xml version="1.0" encoding="utf-8"?>
<sst xmlns="http://schemas.openxmlformats.org/spreadsheetml/2006/main" count="171" uniqueCount="63">
  <si>
    <t>Высота проёма</t>
  </si>
  <si>
    <t>Количество дверей</t>
  </si>
  <si>
    <t>Количество перекрытий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</si>
  <si>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</si>
  <si>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</si>
  <si>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</si>
  <si>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</si>
  <si>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</si>
  <si>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</si>
  <si>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</si>
  <si>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Саморез 4*16мм</t>
  </si>
  <si>
    <t>Саморез 3*20мм</t>
  </si>
  <si>
    <t>Уплотнитель нижней направляющей</t>
  </si>
  <si>
    <t>Полотно двери - плита толщиной 16мм: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</si>
  <si>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</si>
  <si>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</si>
  <si>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</si>
  <si>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</si>
  <si>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t>NOVA Комплект роликов ANV16</t>
  </si>
  <si>
    <t>NOVA Вертикальный профиль CKRU0487</t>
  </si>
  <si>
    <t>Направляющая верхняя CKRU0046</t>
  </si>
  <si>
    <t>Направляющая нижняя CKRU0009</t>
  </si>
  <si>
    <t>NOVA Кронштейн внутренний ANV16-01 + внешний ANV16-03**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</si>
  <si>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</si>
  <si>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Доводчик</t>
  </si>
  <si>
    <t>Верхний позиционер</t>
  </si>
  <si>
    <t>Количество доводчиков общее</t>
  </si>
  <si>
    <t>NOVA Рамка горизонтальная узкая CKRU0442</t>
  </si>
  <si>
    <t>NOVA Торцевой профиль ручки CKRU0448</t>
  </si>
  <si>
    <t>NOVA Усилитель CKRU0480</t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</si>
  <si>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</si>
  <si>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</si>
  <si>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</si>
  <si>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>Количество перекрытий (перекрытие 12мм)</t>
  </si>
  <si>
    <t>Установка с видимой верхней направляющей</t>
  </si>
  <si>
    <t xml:space="preserve">РАСЧЁТ ДВЕРЕЙ ARISTO NOVA </t>
  </si>
  <si>
    <t>Установка со скрытой верхней направляющей в корпус</t>
  </si>
  <si>
    <t>Установка со скрытой верхней направляющей в проём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</si>
  <si>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</si>
  <si>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</si>
  <si>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**по 2 шт. на дверь, внутренние ANV16-01/внешние ANV16-03 - по расположению дверей. При монтаже доводчика требуется дополнительный кронштейн (доводчик устанавливается на 2 кронштейна).</t>
  </si>
  <si>
    <t>себестоим</t>
  </si>
  <si>
    <t>себестоим расчетная</t>
  </si>
  <si>
    <t>цена себ</t>
  </si>
  <si>
    <t>Саморез 3*20мм с потайной головкой</t>
  </si>
  <si>
    <t>Саморез 4*16мм с полукруглой головкой</t>
  </si>
  <si>
    <t>Саморез 3*10 с потайной головкой</t>
  </si>
  <si>
    <t>Саморез 3*10 с полукруглой головкой</t>
  </si>
  <si>
    <t>Цена с коэф 4,06</t>
  </si>
  <si>
    <t>Шлегель в паз вертикального профиля</t>
  </si>
  <si>
    <t>NOVA Рамка средняя открытая (делитель двери) CKRU0485</t>
  </si>
  <si>
    <t>NOVA Рамка средняя закрытая (делитель двери) CKRU0486</t>
  </si>
  <si>
    <t>NOVA Рамка средняя закрытая (стыковка с врезной ручкой) CKRU0486</t>
  </si>
  <si>
    <t>NOVA Рамка средняя открытая (врезная ручка) CKRU0485</t>
  </si>
  <si>
    <t>Врезная ручка, 200 мм ANV16-04</t>
  </si>
  <si>
    <t>Ручка врезная L=200 мм, в сборе (количество ручек для одной двери)</t>
  </si>
  <si>
    <t>AR-W-QL(10*4)/745 Уплотнитель полиуретановый, серый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</si>
  <si>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</si>
  <si>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</si>
  <si>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</si>
  <si>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</si>
  <si>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оглавление</t>
  </si>
  <si>
    <t>NOVA Рамка средняя закрытая (усилитель) CKRU0486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</si>
</sst>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charset val="204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143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/>
    <xf numFmtId="0" fontId="2" fillId="0" borderId="11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ill="1" applyBorder="1" applyAlignment="1">
      <alignment vertical="center" wrapText="1"/>
    </xf>
    <xf numFmtId="0" fontId="5" fillId="0" borderId="18" xfId="0" applyFont="1" applyFill="1" applyBorder="1" applyAlignment="1">
      <alignment horizontal="left" vertical="center"/>
    </xf>
    <xf numFmtId="0" fontId="4" fillId="2" borderId="10" xfId="0" applyFont="1" applyFill="1" applyBorder="1" applyAlignment="1">
      <alignment vertical="center"/>
    </xf>
    <xf numFmtId="0" fontId="2" fillId="0" borderId="0" xfId="0" applyFont="1" applyFill="1"/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2" fillId="2" borderId="8" xfId="0" applyFont="1" applyFill="1" applyBorder="1" applyAlignment="1">
      <alignment horizontal="center" vertical="center"/>
    </xf>
    <xf numFmtId="0" fontId="2" fillId="0" borderId="0" xfId="0" applyFont="1" applyBorder="1"/>
    <xf numFmtId="0" fontId="3" fillId="0" borderId="0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right" wrapText="1"/>
    </xf>
    <xf numFmtId="0" fontId="4" fillId="2" borderId="26" xfId="0" applyFont="1" applyFill="1" applyBorder="1" applyAlignment="1">
      <alignment horizontal="left" vertical="center"/>
    </xf>
    <xf numFmtId="0" fontId="4" fillId="2" borderId="27" xfId="0" applyFont="1" applyFill="1" applyBorder="1" applyAlignment="1">
      <alignment horizontal="left" vertical="center"/>
    </xf>
    <xf numFmtId="0" fontId="4" fillId="2" borderId="25" xfId="0" applyFont="1" applyFill="1" applyBorder="1" applyAlignment="1">
      <alignment horizontal="left" vertical="center" wrapText="1"/>
    </xf>
    <xf numFmtId="0" fontId="4" fillId="2" borderId="29" xfId="0" applyFont="1" applyFill="1" applyBorder="1" applyAlignment="1">
      <alignment horizontal="left" vertical="center"/>
    </xf>
    <xf numFmtId="0" fontId="12" fillId="0" borderId="30" xfId="0" applyFont="1" applyFill="1" applyBorder="1" applyAlignment="1">
      <alignment horizontal="right" vertical="center"/>
    </xf>
    <xf numFmtId="0" fontId="12" fillId="0" borderId="31" xfId="0" applyFont="1" applyBorder="1" applyAlignment="1">
      <alignment horizontal="right" vertical="center"/>
    </xf>
    <xf numFmtId="0" fontId="12" fillId="0" borderId="32" xfId="0" applyFont="1" applyBorder="1" applyAlignment="1">
      <alignment horizontal="right" vertical="center"/>
    </xf>
    <xf numFmtId="0" fontId="12" fillId="0" borderId="33" xfId="0" applyFont="1" applyBorder="1" applyAlignment="1">
      <alignment horizontal="right" vertical="center"/>
    </xf>
    <xf numFmtId="0" fontId="13" fillId="0" borderId="31" xfId="0" applyFont="1" applyBorder="1" applyAlignment="1">
      <alignment horizontal="right" vertical="center"/>
    </xf>
    <xf numFmtId="167" fontId="12" fillId="0" borderId="30" xfId="0" applyNumberFormat="1" applyFont="1" applyFill="1" applyBorder="1" applyAlignment="1">
      <alignment horizontal="right" vertical="center"/>
    </xf>
    <xf numFmtId="1" fontId="12" fillId="0" borderId="31" xfId="0" applyNumberFormat="1" applyFont="1" applyBorder="1" applyAlignment="1">
      <alignment horizontal="right" vertical="center"/>
    </xf>
    <xf numFmtId="0" fontId="2" fillId="0" borderId="0" xfId="0" applyFont="1" applyAlignment="1">
      <alignment wrapText="1"/>
    </xf>
    <xf numFmtId="0" fontId="13" fillId="0" borderId="0" xfId="0" applyFont="1"/>
    <xf numFmtId="3" fontId="3" fillId="0" borderId="0" xfId="0" applyNumberFormat="1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0" fontId="13" fillId="0" borderId="1" xfId="0" applyFont="1" applyBorder="1" applyAlignment="1">
      <alignment horizontal="right" vertical="center"/>
    </xf>
    <xf numFmtId="0" fontId="13" fillId="0" borderId="8" xfId="0" applyFont="1" applyBorder="1" applyAlignment="1">
      <alignment horizontal="right" vertical="center"/>
    </xf>
    <xf numFmtId="0" fontId="2" fillId="0" borderId="11" xfId="0" applyFont="1" applyFill="1" applyBorder="1" applyAlignment="1">
      <alignment vertical="center"/>
    </xf>
    <xf numFmtId="0" fontId="13" fillId="0" borderId="31" xfId="0" applyFont="1" applyFill="1" applyBorder="1" applyAlignment="1">
      <alignment horizontal="right" vertical="center"/>
    </xf>
    <xf numFmtId="0" fontId="14" fillId="2" borderId="29" xfId="0" applyFont="1" applyFill="1" applyBorder="1" applyAlignment="1">
      <alignment horizontal="left" vertical="center"/>
    </xf>
    <xf numFmtId="0" fontId="12" fillId="0" borderId="31" xfId="0" applyFont="1" applyBorder="1" applyAlignment="1">
      <alignment vertical="center"/>
    </xf>
    <xf numFmtId="0" fontId="12" fillId="0" borderId="32" xfId="0" applyFont="1" applyBorder="1" applyAlignment="1">
      <alignment vertical="center"/>
    </xf>
    <xf numFmtId="0" fontId="12" fillId="0" borderId="33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4" fillId="2" borderId="29" xfId="0" applyFont="1" applyFill="1" applyBorder="1" applyAlignment="1">
      <alignment horizontal="center" vertical="center"/>
    </xf>
    <xf numFmtId="167" fontId="12" fillId="0" borderId="1" xfId="0" applyNumberFormat="1" applyFont="1" applyBorder="1" applyAlignment="1">
      <alignment vertical="center"/>
    </xf>
    <xf numFmtId="0" fontId="0" fillId="2" borderId="28" xfId="0" applyFill="1" applyBorder="1" applyAlignment="1">
      <alignment horizontal="left" vertical="center" wrapText="1"/>
    </xf>
    <xf numFmtId="0" fontId="12" fillId="0" borderId="0" xfId="0" applyFont="1" applyBorder="1" applyAlignment="1">
      <alignment horizontal="right" vertical="center"/>
    </xf>
    <xf numFmtId="0" fontId="14" fillId="2" borderId="5" xfId="0" applyFont="1" applyFill="1" applyBorder="1" applyAlignment="1">
      <alignment horizontal="right" vertical="center"/>
    </xf>
    <xf numFmtId="0" fontId="12" fillId="0" borderId="1" xfId="0" applyFont="1" applyBorder="1" applyAlignment="1">
      <alignment horizontal="right" vertical="center"/>
    </xf>
    <xf numFmtId="167" fontId="12" fillId="0" borderId="1" xfId="0" applyNumberFormat="1" applyFont="1" applyBorder="1" applyAlignment="1">
      <alignment horizontal="right" vertical="center"/>
    </xf>
    <xf numFmtId="1" fontId="12" fillId="0" borderId="33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vertical="center" wrapText="1"/>
    </xf>
    <xf numFmtId="164" fontId="3" fillId="3" borderId="8" xfId="0" applyNumberFormat="1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hidden="1"/>
    </xf>
    <xf numFmtId="164" fontId="3" fillId="0" borderId="6" xfId="0" applyNumberFormat="1" applyFont="1" applyBorder="1" applyAlignment="1" applyProtection="1">
      <alignment horizontal="center" vertical="center"/>
    </xf>
    <xf numFmtId="164" fontId="3" fillId="0" borderId="9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 vertical="center"/>
    </xf>
    <xf numFmtId="164" fontId="3" fillId="0" borderId="24" xfId="0" applyNumberFormat="1" applyFont="1" applyBorder="1" applyAlignment="1" applyProtection="1">
      <alignment horizontal="center" vertical="center"/>
    </xf>
    <xf numFmtId="0" fontId="3" fillId="0" borderId="23" xfId="0" applyFont="1" applyBorder="1" applyAlignment="1" applyProtection="1">
      <alignment horizontal="center" vertical="center"/>
    </xf>
    <xf numFmtId="164" fontId="3" fillId="0" borderId="8" xfId="0" applyNumberFormat="1" applyFont="1" applyBorder="1" applyAlignment="1" applyProtection="1">
      <alignment horizontal="center" vertical="center"/>
    </xf>
    <xf numFmtId="0" fontId="3" fillId="0" borderId="9" xfId="0" applyFont="1" applyBorder="1" applyAlignment="1" applyProtection="1">
      <alignment horizontal="center" vertical="center"/>
    </xf>
    <xf numFmtId="0" fontId="2" fillId="0" borderId="15" xfId="0" applyFont="1" applyFill="1" applyBorder="1" applyAlignment="1">
      <alignment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14" fontId="2" fillId="0" borderId="0" xfId="0" applyNumberFormat="1" applyFont="1" applyAlignment="1">
      <alignment horizontal="left"/>
    </xf>
    <xf numFmtId="0" fontId="9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2" fillId="0" borderId="1" xfId="0" applyFont="1" applyBorder="1" applyAlignment="1">
      <alignment vertical="center"/>
    </xf>
    <xf numFmtId="1" fontId="12" fillId="0" borderId="1" xfId="0" applyNumberFormat="1" applyFont="1" applyBorder="1" applyAlignment="1">
      <alignment horizontal="right" vertical="center"/>
    </xf>
    <xf numFmtId="167" fontId="12" fillId="0" borderId="1" xfId="0" applyNumberFormat="1" applyFont="1" applyFill="1" applyBorder="1" applyAlignment="1">
      <alignment horizontal="right" vertical="center"/>
    </xf>
    <xf numFmtId="0" fontId="0" fillId="4" borderId="21" xfId="0" applyFill="1" applyBorder="1"/>
    <xf numFmtId="0" fontId="0" fillId="4" borderId="25" xfId="0" applyFill="1" applyBorder="1"/>
    <xf numFmtId="0" fontId="0" fillId="4" borderId="40" xfId="0" applyFill="1" applyBorder="1"/>
    <xf numFmtId="0" fontId="0" fillId="4" borderId="0" xfId="0" applyFill="1"/>
    <xf numFmtId="0" fontId="0" fillId="4" borderId="41" xfId="0" applyFill="1" applyBorder="1"/>
    <xf numFmtId="0" fontId="0" fillId="4" borderId="0" xfId="0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28" xfId="0" applyFill="1" applyBorder="1"/>
    <xf numFmtId="0" fontId="0" fillId="4" borderId="42" xfId="0" applyFill="1" applyBorder="1"/>
    <xf numFmtId="0" fontId="16" fillId="0" borderId="1" xfId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4" xfId="0" applyFont="1" applyFill="1" applyBorder="1" applyAlignment="1" applyProtection="1">
      <alignment horizontal="center" vertical="center"/>
      <protection locked="0"/>
    </xf>
    <xf numFmtId="164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3" fillId="3" borderId="16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4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4" xfId="0" applyNumberFormat="1" applyFont="1" applyBorder="1" applyAlignment="1" applyProtection="1">
      <alignment horizontal="center" vertical="center" wrapText="1"/>
    </xf>
    <xf numFmtId="3" fontId="3" fillId="0" borderId="34" xfId="0" applyNumberFormat="1" applyFont="1" applyBorder="1" applyAlignment="1" applyProtection="1">
      <alignment horizontal="center" vertical="center" wrapText="1"/>
    </xf>
    <xf numFmtId="3" fontId="3" fillId="0" borderId="35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2" xfId="0" applyNumberFormat="1" applyBorder="1" applyAlignment="1" applyProtection="1">
      <alignment horizontal="center" vertical="center" wrapText="1"/>
    </xf>
    <xf numFmtId="3" fontId="3" fillId="0" borderId="1" xfId="0" applyNumberFormat="1" applyFont="1" applyBorder="1" applyAlignment="1" applyProtection="1">
      <alignment horizontal="center" vertical="center" wrapText="1"/>
    </xf>
    <xf numFmtId="3" fontId="0" fillId="0" borderId="12" xfId="0" applyNumberFormat="1" applyBorder="1" applyAlignment="1" applyProtection="1">
      <alignment horizontal="center" vertical="center" wrapText="1"/>
    </xf>
    <xf numFmtId="3" fontId="3" fillId="0" borderId="1" xfId="0" applyNumberFormat="1" applyFont="1" applyFill="1" applyBorder="1" applyAlignment="1" applyProtection="1">
      <alignment horizontal="center" vertical="center" wrapText="1"/>
    </xf>
    <xf numFmtId="3" fontId="0" fillId="0" borderId="12" xfId="0" applyNumberFormat="1" applyFill="1" applyBorder="1" applyAlignment="1" applyProtection="1">
      <alignment horizontal="center" vertical="center" wrapText="1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0" fillId="0" borderId="12" xfId="0" applyNumberFormat="1" applyBorder="1" applyAlignment="1" applyProtection="1">
      <alignment horizontal="center" vertical="center" wrapText="1"/>
    </xf>
    <xf numFmtId="164" fontId="3" fillId="3" borderId="2" xfId="0" applyNumberFormat="1" applyFont="1" applyFill="1" applyBorder="1" applyAlignment="1" applyProtection="1">
      <alignment horizontal="center" vertical="center"/>
      <protection locked="0"/>
    </xf>
    <xf numFmtId="164" fontId="3" fillId="3" borderId="14" xfId="0" applyNumberFormat="1" applyFont="1" applyFill="1" applyBorder="1" applyAlignment="1" applyProtection="1">
      <alignment horizontal="center" vertical="center"/>
      <protection locked="0"/>
    </xf>
    <xf numFmtId="0" fontId="3" fillId="3" borderId="2" xfId="0" applyNumberFormat="1" applyFont="1" applyFill="1" applyBorder="1" applyAlignment="1" applyProtection="1">
      <alignment horizontal="center" vertical="center"/>
      <protection locked="0"/>
    </xf>
    <xf numFmtId="0" fontId="3" fillId="3" borderId="14" xfId="0" applyNumberFormat="1" applyFont="1" applyFill="1" applyBorder="1" applyAlignment="1" applyProtection="1">
      <alignment horizontal="center" vertical="center"/>
      <protection locked="0"/>
    </xf>
    <xf numFmtId="0" fontId="3" fillId="3" borderId="38" xfId="0" applyFont="1" applyFill="1" applyBorder="1" applyAlignment="1" applyProtection="1">
      <alignment horizontal="center" vertical="center"/>
      <protection locked="0"/>
    </xf>
    <xf numFmtId="0" fontId="3" fillId="3" borderId="39" xfId="0" applyFont="1" applyFill="1" applyBorder="1" applyAlignment="1" applyProtection="1">
      <alignment horizontal="center" vertical="center"/>
      <protection locked="0"/>
    </xf>
    <xf numFmtId="0" fontId="9" fillId="0" borderId="0" xfId="0" applyFont="1" applyBorder="1" applyAlignment="1">
      <alignment vertical="center" wrapText="1"/>
    </xf>
    <xf numFmtId="0" fontId="0" fillId="0" borderId="0" xfId="0" applyAlignment="1">
      <alignment wrapText="1"/>
    </xf>
    <xf numFmtId="0" fontId="4" fillId="2" borderId="22" xfId="0" applyFont="1" applyFill="1" applyBorder="1" applyAlignment="1">
      <alignment horizontal="left" vertical="center" wrapText="1"/>
    </xf>
    <xf numFmtId="0" fontId="3" fillId="3" borderId="2" xfId="0" applyNumberFormat="1" applyFont="1" applyFill="1" applyBorder="1" applyAlignment="1" applyProtection="1">
      <alignment horizontal="center" vertical="center"/>
    </xf>
    <xf numFmtId="0" fontId="3" fillId="3" borderId="14" xfId="0" applyNumberFormat="1" applyFont="1" applyFill="1" applyBorder="1" applyAlignment="1" applyProtection="1">
      <alignment horizontal="center" vertical="center"/>
    </xf>
    <xf numFmtId="164" fontId="5" fillId="2" borderId="36" xfId="0" applyNumberFormat="1" applyFont="1" applyFill="1" applyBorder="1" applyAlignment="1" applyProtection="1">
      <alignment horizontal="center" vertical="center" wrapText="1"/>
      <protection locked="0"/>
    </xf>
    <xf numFmtId="164" fontId="5" fillId="2" borderId="37" xfId="0" applyNumberFormat="1" applyFont="1" applyFill="1" applyBorder="1" applyAlignment="1" applyProtection="1">
      <alignment horizontal="center" vertical="center" wrapText="1"/>
      <protection locked="0"/>
    </xf>
    <xf numFmtId="168" fontId="3" fillId="0" borderId="2" xfId="0" applyNumberFormat="1" applyFont="1" applyBorder="1" applyAlignment="1" applyProtection="1">
      <alignment horizontal="center" vertical="center" wrapText="1"/>
    </xf>
    <xf numFmtId="168" fontId="3" fillId="0" borderId="14" xfId="0" applyNumberFormat="1" applyFont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B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B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B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1848938</xdr:colOff>
      <xdr:row>18</xdr:row>
      <xdr:rowOff>108857</xdr:rowOff>
    </xdr:from>
    <xdr:to>
      <xdr:col>0</xdr:col>
      <xdr:colOff>3477825</xdr:colOff>
      <xdr:row>40</xdr:row>
      <xdr:rowOff>204319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938" y="4218214"/>
          <a:ext cx="1628887" cy="54910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417467</xdr:colOff>
      <xdr:row>21</xdr:row>
      <xdr:rowOff>27758</xdr:rowOff>
    </xdr:from>
    <xdr:to>
      <xdr:col>0</xdr:col>
      <xdr:colOff>3891642</xdr:colOff>
      <xdr:row>40</xdr:row>
      <xdr:rowOff>353359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67" y="4626972"/>
          <a:ext cx="3474175" cy="52065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1226428</xdr:colOff>
      <xdr:row>18</xdr:row>
      <xdr:rowOff>114460</xdr:rowOff>
    </xdr:from>
    <xdr:to>
      <xdr:col>0</xdr:col>
      <xdr:colOff>4705669</xdr:colOff>
      <xdr:row>40</xdr:row>
      <xdr:rowOff>366387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428" y="4720078"/>
          <a:ext cx="3479241" cy="56667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tabSelected="1" workbookViewId="0"/>
  </sheetViews>
  <sheetFormatPr defaultRowHeight="15" x14ac:dyDescent="0.25"/>
  <sheetData>
    <row r="1" spans="1:11" x14ac:dyDescent="0.25">
      <c r="A1" s="89"/>
      <c r="B1" s="90"/>
      <c r="C1" s="90"/>
      <c r="D1" s="90"/>
      <c r="E1" s="90"/>
      <c r="F1" s="90"/>
      <c r="G1" s="90"/>
      <c r="H1" s="90"/>
      <c r="I1" s="90"/>
      <c r="J1" s="91"/>
      <c r="K1" s="92"/>
    </row>
    <row r="2" spans="1:11" x14ac:dyDescent="0.25">
      <c r="A2" s="93"/>
      <c r="B2" s="94"/>
      <c r="C2" s="94"/>
      <c r="D2" s="94"/>
      <c r="E2" s="94"/>
      <c r="F2" s="94"/>
      <c r="G2" s="94"/>
      <c r="H2" s="94"/>
      <c r="I2" s="94"/>
      <c r="J2" s="95"/>
      <c r="K2" s="92"/>
    </row>
    <row r="3" spans="1:11" x14ac:dyDescent="0.25">
      <c r="A3" s="93"/>
      <c r="B3" s="94"/>
      <c r="C3" s="94"/>
      <c r="D3" s="94"/>
      <c r="E3" s="94"/>
      <c r="F3" s="94"/>
      <c r="G3" s="94"/>
      <c r="H3" s="94"/>
      <c r="I3" s="94"/>
      <c r="J3" s="95"/>
      <c r="K3" s="92"/>
    </row>
    <row r="4" spans="1:11" x14ac:dyDescent="0.25">
      <c r="A4" s="93"/>
      <c r="B4" s="94"/>
      <c r="C4" s="94"/>
      <c r="D4" s="94"/>
      <c r="E4" s="94"/>
      <c r="F4" s="94"/>
      <c r="G4" s="94"/>
      <c r="H4" s="94"/>
      <c r="I4" s="94"/>
      <c r="J4" s="95"/>
      <c r="K4" s="92"/>
    </row>
    <row r="5" spans="1:11" x14ac:dyDescent="0.25">
      <c r="A5" s="93"/>
      <c r="B5" s="94"/>
      <c r="C5" s="94"/>
      <c r="D5" s="94"/>
      <c r="E5" s="94"/>
      <c r="F5" s="94"/>
      <c r="G5" s="94"/>
      <c r="H5" s="94"/>
      <c r="I5" s="94"/>
      <c r="J5" s="95"/>
      <c r="K5" s="92"/>
    </row>
    <row r="6" spans="1:11" x14ac:dyDescent="0.25">
      <c r="A6" s="93"/>
      <c r="B6" s="94"/>
      <c r="C6" s="94"/>
      <c r="D6" s="94"/>
      <c r="E6" s="94"/>
      <c r="F6" s="94"/>
      <c r="G6" s="94"/>
      <c r="H6" s="94"/>
      <c r="I6" s="94"/>
      <c r="J6" s="95"/>
      <c r="K6" s="92"/>
    </row>
    <row r="7" spans="1:11" x14ac:dyDescent="0.25">
      <c r="A7" s="93"/>
      <c r="B7" s="94"/>
      <c r="C7" s="94"/>
      <c r="D7" s="94"/>
      <c r="E7" s="94"/>
      <c r="F7" s="94"/>
      <c r="G7" s="94"/>
      <c r="H7" s="94"/>
      <c r="I7" s="94"/>
      <c r="J7" s="95"/>
      <c r="K7" s="92"/>
    </row>
    <row r="8" spans="1:11" x14ac:dyDescent="0.25">
      <c r="A8" s="93"/>
      <c r="B8" s="94"/>
      <c r="C8" s="94"/>
      <c r="D8" s="94"/>
      <c r="E8" s="94"/>
      <c r="F8" s="94"/>
      <c r="G8" s="94"/>
      <c r="H8" s="94"/>
      <c r="I8" s="94"/>
      <c r="J8" s="95"/>
      <c r="K8" s="92"/>
    </row>
    <row r="9" spans="1:11" x14ac:dyDescent="0.25">
      <c r="A9" s="93"/>
      <c r="B9" s="94"/>
      <c r="C9" s="94"/>
      <c r="D9" s="94"/>
      <c r="E9" s="94"/>
      <c r="F9" s="94"/>
      <c r="G9" s="94"/>
      <c r="H9" s="94"/>
      <c r="I9" s="94"/>
      <c r="J9" s="95"/>
      <c r="K9" s="92"/>
    </row>
    <row r="10" spans="1:11" x14ac:dyDescent="0.25">
      <c r="A10" s="93"/>
      <c r="B10" s="94"/>
      <c r="C10" s="94"/>
      <c r="D10" s="94"/>
      <c r="E10" s="94"/>
      <c r="F10" s="94"/>
      <c r="G10" s="94"/>
      <c r="H10" s="94"/>
      <c r="I10" s="94"/>
      <c r="J10" s="95"/>
      <c r="K10" s="92"/>
    </row>
    <row r="11" spans="1:11" x14ac:dyDescent="0.25">
      <c r="A11" s="93"/>
      <c r="B11" s="94"/>
      <c r="C11" s="94"/>
      <c r="D11" s="94"/>
      <c r="E11" s="94"/>
      <c r="F11" s="94"/>
      <c r="G11" s="94"/>
      <c r="H11" s="94"/>
      <c r="I11" s="94"/>
      <c r="J11" s="95"/>
      <c r="K11" s="92"/>
    </row>
    <row r="12" spans="1:11" x14ac:dyDescent="0.25">
      <c r="A12" s="93"/>
      <c r="B12" s="94"/>
      <c r="C12" s="94"/>
      <c r="D12" s="94"/>
      <c r="E12" s="94"/>
      <c r="F12" s="94"/>
      <c r="G12" s="94"/>
      <c r="H12" s="94"/>
      <c r="I12" s="94"/>
      <c r="J12" s="95"/>
      <c r="K12" s="92"/>
    </row>
    <row r="13" spans="1:11" x14ac:dyDescent="0.25">
      <c r="A13" s="93"/>
      <c r="B13" s="94"/>
      <c r="C13" s="94"/>
      <c r="D13" s="94"/>
      <c r="E13" s="94"/>
      <c r="F13" s="94"/>
      <c r="G13" s="94"/>
      <c r="H13" s="94"/>
      <c r="I13" s="94"/>
      <c r="J13" s="95"/>
      <c r="K13" s="92"/>
    </row>
    <row r="14" spans="1:11" x14ac:dyDescent="0.25">
      <c r="A14" s="93"/>
      <c r="B14" s="94"/>
      <c r="C14" s="94"/>
      <c r="D14" s="94"/>
      <c r="E14" s="94"/>
      <c r="F14" s="94"/>
      <c r="G14" s="94"/>
      <c r="H14" s="94"/>
      <c r="I14" s="94"/>
      <c r="J14" s="95"/>
      <c r="K14" s="92"/>
    </row>
    <row r="15" spans="1:11" x14ac:dyDescent="0.25">
      <c r="A15" s="93"/>
      <c r="B15" s="94"/>
      <c r="C15" s="94"/>
      <c r="D15" s="94"/>
      <c r="E15" s="94"/>
      <c r="F15" s="94"/>
      <c r="G15" s="94"/>
      <c r="H15" s="94"/>
      <c r="I15" s="94"/>
      <c r="J15" s="95"/>
      <c r="K15" s="92"/>
    </row>
    <row r="16" spans="1:11" ht="15.75" thickBot="1" x14ac:dyDescent="0.3">
      <c r="A16" s="96"/>
      <c r="B16" s="97"/>
      <c r="C16" s="97"/>
      <c r="D16" s="97"/>
      <c r="E16" s="97"/>
      <c r="F16" s="97"/>
      <c r="G16" s="97"/>
      <c r="H16" s="97"/>
      <c r="I16" s="97"/>
      <c r="J16" s="98"/>
      <c r="K16" s="92"/>
    </row>
    <row r="17" spans="1:11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1" x14ac:dyDescent="0.25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</row>
    <row r="19" spans="1:11" x14ac:dyDescent="0.2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</row>
  </sheetData>
  <sheetProtection algorithmName="SHA-512" hashValue="HgWJ3xIlR2iorsHlmL+vc8P+jIPHAyhnbJRuipTaFEy6Gn9VCUhgxgUEB3XjzclpABQ60Qijvw+C9P29eoKbRw==" saltValue="sAZsq/0kO3dknir8ae1eG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9"/>
  <sheetViews>
    <sheetView zoomScale="70" zoomScaleNormal="70" workbookViewId="0">
      <selection activeCell="B9" sqref="B9:C9"/>
    </sheetView>
  </sheetViews>
  <sheetFormatPr defaultColWidth="9.140625" defaultRowHeight="18.75" x14ac:dyDescent="0.3"/>
  <cols>
    <col min="1" max="1" width="82.710937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6" width="12.85546875" style="4" hidden="1" customWidth="1"/>
    <col min="7" max="7" width="12.5703125" style="4" hidden="1" customWidth="1"/>
    <col min="8" max="8" width="12.42578125" style="4" hidden="1" customWidth="1"/>
    <col min="9" max="9" width="16.7109375" style="4" customWidth="1"/>
    <col min="10" max="10" width="13.42578125" style="4" customWidth="1"/>
    <col min="11" max="11" width="4.28515625" style="4" customWidth="1"/>
    <col min="12" max="16384" width="9.140625" style="4"/>
  </cols>
  <sheetData>
    <row r="1" spans="1:11" x14ac:dyDescent="0.3">
      <c r="A1" s="81"/>
    </row>
    <row r="2" spans="1:11" s="1" customFormat="1" ht="27.6" customHeight="1" x14ac:dyDescent="0.25">
      <c r="A2" s="119" t="s">
        <v>35</v>
      </c>
      <c r="B2" s="119"/>
      <c r="C2" s="119"/>
      <c r="D2" s="119"/>
      <c r="E2" s="119"/>
      <c r="F2" s="119"/>
      <c r="G2" s="119"/>
      <c r="H2" s="119"/>
      <c r="I2" s="119"/>
      <c r="J2" s="119"/>
    </row>
    <row r="3" spans="1:11" s="13" customFormat="1" ht="26.1" customHeight="1" x14ac:dyDescent="0.25">
      <c r="A3" s="100" t="s">
        <v>34</v>
      </c>
      <c r="B3" s="100"/>
      <c r="C3" s="100"/>
      <c r="D3" s="101"/>
      <c r="E3" s="101"/>
      <c r="F3" s="101"/>
      <c r="G3" s="101"/>
      <c r="H3" s="101"/>
      <c r="I3" s="101"/>
      <c r="J3" s="101"/>
    </row>
    <row r="4" spans="1:11" s="13" customFormat="1" ht="20.100000000000001" customHeight="1" x14ac:dyDescent="0.3">
      <c r="A4" s="14"/>
      <c r="B4" s="14"/>
      <c r="C4" s="14"/>
      <c r="E4" s="17"/>
      <c r="F4" s="17"/>
      <c r="G4" s="17"/>
      <c r="H4" s="17"/>
      <c r="I4" s="17"/>
      <c r="J4" s="17"/>
    </row>
    <row r="5" spans="1:11" s="13" customFormat="1" ht="20.100000000000001" customHeight="1" x14ac:dyDescent="0.25">
      <c r="A5" s="102" t="s">
        <v>15</v>
      </c>
      <c r="B5" s="102"/>
      <c r="C5" s="102"/>
      <c r="E5" s="102" t="s">
        <v>14</v>
      </c>
      <c r="F5" s="102"/>
      <c r="G5" s="102"/>
      <c r="H5" s="102"/>
      <c r="I5" s="102"/>
      <c r="J5" s="102"/>
    </row>
    <row r="6" spans="1:11" s="1" customFormat="1" ht="20.100000000000001" customHeight="1" thickBot="1" x14ac:dyDescent="0.3">
      <c r="A6" s="22"/>
      <c r="B6" s="22"/>
      <c r="C6" s="22"/>
      <c r="D6" s="13"/>
      <c r="E6" s="22"/>
      <c r="F6" s="22"/>
      <c r="G6" s="22"/>
      <c r="H6" s="22"/>
      <c r="I6" s="22"/>
      <c r="J6" s="22"/>
    </row>
    <row r="7" spans="1:11" s="1" customFormat="1" ht="20.100000000000001" customHeight="1" x14ac:dyDescent="0.25">
      <c r="A7" s="5" t="s">
        <v>0</v>
      </c>
      <c r="B7" s="128">
        <v>2600</v>
      </c>
      <c r="C7" s="129"/>
      <c r="E7" s="111" t="s">
        <v>8</v>
      </c>
      <c r="F7" s="25"/>
      <c r="G7" s="25"/>
      <c r="H7" s="25"/>
      <c r="I7" s="8" t="s">
        <v>6</v>
      </c>
      <c r="J7" s="68">
        <f>B7-45</f>
        <v>2555</v>
      </c>
    </row>
    <row r="8" spans="1:11" s="1" customFormat="1" ht="20.100000000000001" customHeight="1" thickBot="1" x14ac:dyDescent="0.3">
      <c r="A8" s="5" t="s">
        <v>32</v>
      </c>
      <c r="B8" s="128">
        <v>1800</v>
      </c>
      <c r="C8" s="129"/>
      <c r="E8" s="112"/>
      <c r="F8" s="26"/>
      <c r="G8" s="26"/>
      <c r="H8" s="26"/>
      <c r="I8" s="20" t="s">
        <v>7</v>
      </c>
      <c r="J8" s="69">
        <f>(B8+B10*12)/B9</f>
        <v>906</v>
      </c>
    </row>
    <row r="9" spans="1:11" s="1" customFormat="1" ht="20.100000000000001" customHeight="1" thickBot="1" x14ac:dyDescent="0.3">
      <c r="A9" s="5" t="s">
        <v>1</v>
      </c>
      <c r="B9" s="130">
        <v>2</v>
      </c>
      <c r="C9" s="131"/>
      <c r="E9" s="11"/>
      <c r="F9" s="11"/>
      <c r="G9" s="11"/>
      <c r="H9" s="11"/>
      <c r="I9" s="18"/>
      <c r="J9" s="63"/>
    </row>
    <row r="10" spans="1:11" s="1" customFormat="1" ht="20.100000000000001" customHeight="1" x14ac:dyDescent="0.3">
      <c r="A10" s="5" t="s">
        <v>33</v>
      </c>
      <c r="B10" s="130">
        <f>B9-1</f>
        <v>1</v>
      </c>
      <c r="C10" s="131"/>
      <c r="E10" s="103" t="s">
        <v>13</v>
      </c>
      <c r="F10" s="27"/>
      <c r="G10" s="27"/>
      <c r="H10" s="27"/>
      <c r="I10" s="24" t="s">
        <v>16</v>
      </c>
      <c r="J10" s="68">
        <f>J7-1.6*B12-26*B13-3.3*2</f>
        <v>2496.4</v>
      </c>
      <c r="K10" s="3"/>
    </row>
    <row r="11" spans="1:11" s="1" customFormat="1" ht="20.100000000000001" customHeight="1" thickBot="1" x14ac:dyDescent="0.3">
      <c r="A11" s="7" t="s">
        <v>26</v>
      </c>
      <c r="B11" s="109">
        <v>0</v>
      </c>
      <c r="C11" s="110"/>
      <c r="E11" s="104"/>
      <c r="F11" s="54"/>
      <c r="G11" s="54"/>
      <c r="H11" s="54"/>
      <c r="I11" s="20" t="s">
        <v>7</v>
      </c>
      <c r="J11" s="69">
        <f>J8-1.6*2</f>
        <v>902.8</v>
      </c>
    </row>
    <row r="12" spans="1:11" s="1" customFormat="1" ht="20.100000000000001" customHeight="1" thickBot="1" x14ac:dyDescent="0.3">
      <c r="A12" s="42" t="s">
        <v>57</v>
      </c>
      <c r="B12" s="105">
        <v>0</v>
      </c>
      <c r="C12" s="106"/>
      <c r="E12" s="11"/>
      <c r="F12" s="11"/>
      <c r="G12" s="11"/>
      <c r="H12" s="11"/>
      <c r="I12" s="12"/>
      <c r="J12" s="23"/>
    </row>
    <row r="13" spans="1:11" s="1" customFormat="1" ht="20.100000000000001" customHeight="1" x14ac:dyDescent="0.25">
      <c r="A13" s="79" t="s">
        <v>58</v>
      </c>
      <c r="B13" s="109">
        <v>2</v>
      </c>
      <c r="C13" s="110"/>
      <c r="E13" s="10" t="s">
        <v>3</v>
      </c>
      <c r="F13" s="44" t="s">
        <v>43</v>
      </c>
      <c r="G13" s="44" t="s">
        <v>42</v>
      </c>
      <c r="H13" s="52" t="s">
        <v>48</v>
      </c>
      <c r="I13" s="8" t="s">
        <v>4</v>
      </c>
      <c r="J13" s="9" t="s">
        <v>5</v>
      </c>
    </row>
    <row r="14" spans="1:11" s="1" customFormat="1" ht="20.100000000000001" customHeight="1" x14ac:dyDescent="0.25">
      <c r="A14" s="79" t="s">
        <v>59</v>
      </c>
      <c r="B14" s="105">
        <v>0</v>
      </c>
      <c r="C14" s="106"/>
      <c r="E14" s="15" t="s">
        <v>20</v>
      </c>
      <c r="F14" s="29">
        <v>1352</v>
      </c>
      <c r="G14" s="34">
        <f>F14/5400*((I14*5/100)+I14)*J14</f>
        <v>472.67422222222223</v>
      </c>
      <c r="H14" s="34">
        <f>G14*4.06</f>
        <v>1919.0573422222221</v>
      </c>
      <c r="I14" s="71">
        <f>B8-2</f>
        <v>1798</v>
      </c>
      <c r="J14" s="72">
        <v>1</v>
      </c>
    </row>
    <row r="15" spans="1:11" s="1" customFormat="1" ht="20.100000000000001" customHeight="1" x14ac:dyDescent="0.25">
      <c r="A15" s="79" t="s">
        <v>55</v>
      </c>
      <c r="B15" s="105">
        <v>0</v>
      </c>
      <c r="C15" s="106"/>
      <c r="E15" s="15" t="s">
        <v>21</v>
      </c>
      <c r="F15" s="29">
        <v>636.4</v>
      </c>
      <c r="G15" s="34">
        <f>F15/5400*((I15*5/100)+I15)*J15</f>
        <v>222.4925111111111</v>
      </c>
      <c r="H15" s="34">
        <f>G15*4.06</f>
        <v>903.31959511111097</v>
      </c>
      <c r="I15" s="71">
        <f>B8-2</f>
        <v>1798</v>
      </c>
      <c r="J15" s="72">
        <v>1</v>
      </c>
    </row>
    <row r="16" spans="1:11" s="1" customFormat="1" ht="20.100000000000001" customHeight="1" thickBot="1" x14ac:dyDescent="0.3">
      <c r="A16" s="6" t="s">
        <v>60</v>
      </c>
      <c r="B16" s="61">
        <v>140</v>
      </c>
      <c r="C16" s="62">
        <v>0</v>
      </c>
      <c r="E16" s="5" t="s">
        <v>19</v>
      </c>
      <c r="F16" s="30">
        <v>357.5</v>
      </c>
      <c r="G16" s="30">
        <f>F16*J16</f>
        <v>1430</v>
      </c>
      <c r="H16" s="34">
        <f>G16*4.06</f>
        <v>5805.7999999999993</v>
      </c>
      <c r="I16" s="73">
        <f>J7</f>
        <v>2555</v>
      </c>
      <c r="J16" s="74">
        <f>B9*2</f>
        <v>4</v>
      </c>
    </row>
    <row r="17" spans="1:11" s="1" customFormat="1" ht="20.100000000000001" customHeight="1" x14ac:dyDescent="0.25">
      <c r="C17" s="66"/>
      <c r="E17" s="5" t="s">
        <v>27</v>
      </c>
      <c r="F17" s="30">
        <v>165</v>
      </c>
      <c r="G17" s="35">
        <f>(I17*J17/5400)*F17</f>
        <v>109.51111111111111</v>
      </c>
      <c r="H17" s="34">
        <f>G17*4.06</f>
        <v>444.61511111111105</v>
      </c>
      <c r="I17" s="73">
        <f>J8-2*5</f>
        <v>896</v>
      </c>
      <c r="J17" s="74">
        <f>(B12+2)*B9</f>
        <v>4</v>
      </c>
    </row>
    <row r="18" spans="1:11" s="1" customFormat="1" ht="20.100000000000001" customHeight="1" x14ac:dyDescent="0.25">
      <c r="A18" s="1" t="s">
        <v>30</v>
      </c>
      <c r="E18" s="5" t="s">
        <v>51</v>
      </c>
      <c r="F18" s="86"/>
      <c r="G18" s="86"/>
      <c r="H18" s="86"/>
      <c r="I18" s="73">
        <f>I17</f>
        <v>896</v>
      </c>
      <c r="J18" s="74">
        <f>B13*B9-IF(B13&gt;0,IF(C16&gt;0,B9,IF(B15&gt;0,B9,0)),0)</f>
        <v>4</v>
      </c>
    </row>
    <row r="19" spans="1:11" s="1" customFormat="1" ht="20.100000000000001" customHeight="1" x14ac:dyDescent="0.25">
      <c r="E19" s="5" t="s">
        <v>52</v>
      </c>
      <c r="F19" s="86"/>
      <c r="G19" s="86"/>
      <c r="H19" s="86"/>
      <c r="I19" s="73">
        <f>I17-B16*C16-200*B15</f>
        <v>896</v>
      </c>
      <c r="J19" s="74">
        <f>IF(B13&gt;0,IF(C16&gt;0,B9,IF(B15&gt;0,B9,0)),0)</f>
        <v>0</v>
      </c>
    </row>
    <row r="20" spans="1:11" s="1" customFormat="1" ht="20.100000000000001" customHeight="1" x14ac:dyDescent="0.25">
      <c r="E20" s="5" t="s">
        <v>62</v>
      </c>
      <c r="F20" s="86"/>
      <c r="G20" s="86"/>
      <c r="H20" s="86"/>
      <c r="I20" s="75">
        <f>J7-20</f>
        <v>2535</v>
      </c>
      <c r="J20" s="76">
        <f>IF(J8&lt;1000,B9*2,B9*3)</f>
        <v>4</v>
      </c>
    </row>
    <row r="21" spans="1:11" s="1" customFormat="1" ht="20.100000000000001" customHeight="1" x14ac:dyDescent="0.25">
      <c r="E21" s="5" t="s">
        <v>50</v>
      </c>
      <c r="F21" s="49">
        <v>731.5</v>
      </c>
      <c r="G21" s="87">
        <f t="shared" ref="G21:G24" si="0">(I21*J21/5400)*F21</f>
        <v>0</v>
      </c>
      <c r="H21" s="88">
        <f t="shared" ref="H21:H24" si="1">G21*4.06</f>
        <v>0</v>
      </c>
      <c r="I21" s="75">
        <f>I17</f>
        <v>896</v>
      </c>
      <c r="J21" s="76">
        <f>B14*B9</f>
        <v>0</v>
      </c>
    </row>
    <row r="22" spans="1:11" s="1" customFormat="1" ht="20.100000000000001" customHeight="1" x14ac:dyDescent="0.25">
      <c r="E22" s="7" t="s">
        <v>53</v>
      </c>
      <c r="F22" s="46">
        <v>704</v>
      </c>
      <c r="G22" s="35">
        <f t="shared" si="0"/>
        <v>0</v>
      </c>
      <c r="H22" s="34">
        <f t="shared" si="1"/>
        <v>0</v>
      </c>
      <c r="I22" s="75">
        <f>B16</f>
        <v>140</v>
      </c>
      <c r="J22" s="76">
        <f>C16*B9</f>
        <v>0</v>
      </c>
    </row>
    <row r="23" spans="1:11" s="1" customFormat="1" ht="20.100000000000001" customHeight="1" x14ac:dyDescent="0.25">
      <c r="A23" s="1" t="s">
        <v>31</v>
      </c>
      <c r="E23" s="7" t="s">
        <v>28</v>
      </c>
      <c r="F23" s="46">
        <v>236.5</v>
      </c>
      <c r="G23" s="35">
        <f t="shared" si="0"/>
        <v>0</v>
      </c>
      <c r="H23" s="34">
        <f t="shared" si="1"/>
        <v>0</v>
      </c>
      <c r="I23" s="75">
        <v>23</v>
      </c>
      <c r="J23" s="76">
        <f>(C16+B14)*2*B9</f>
        <v>0</v>
      </c>
    </row>
    <row r="24" spans="1:11" s="1" customFormat="1" ht="20.100000000000001" customHeight="1" thickBot="1" x14ac:dyDescent="0.3">
      <c r="E24" s="6" t="s">
        <v>29</v>
      </c>
      <c r="F24" s="47">
        <v>561</v>
      </c>
      <c r="G24" s="35">
        <f t="shared" si="0"/>
        <v>357.79333333333335</v>
      </c>
      <c r="H24" s="34">
        <f t="shared" si="1"/>
        <v>1452.6409333333334</v>
      </c>
      <c r="I24" s="77">
        <f>J8-45</f>
        <v>861</v>
      </c>
      <c r="J24" s="78">
        <f>(B13+B12+B14)*B9</f>
        <v>4</v>
      </c>
    </row>
    <row r="25" spans="1:11" s="1" customFormat="1" ht="20.100000000000001" customHeight="1" thickBot="1" x14ac:dyDescent="0.3">
      <c r="E25" s="3"/>
      <c r="F25" s="3"/>
      <c r="G25" s="3"/>
      <c r="H25" s="3"/>
      <c r="I25" s="64"/>
      <c r="J25" s="65"/>
    </row>
    <row r="26" spans="1:11" s="1" customFormat="1" ht="20.100000000000001" customHeight="1" x14ac:dyDescent="0.25">
      <c r="E26" s="16" t="s">
        <v>9</v>
      </c>
      <c r="F26" s="44" t="s">
        <v>41</v>
      </c>
      <c r="G26" s="44" t="s">
        <v>42</v>
      </c>
      <c r="H26" s="28"/>
      <c r="I26" s="107" t="s">
        <v>5</v>
      </c>
      <c r="J26" s="108"/>
    </row>
    <row r="27" spans="1:11" s="1" customFormat="1" ht="20.100000000000001" customHeight="1" x14ac:dyDescent="0.25">
      <c r="E27" s="5" t="s">
        <v>18</v>
      </c>
      <c r="F27" s="33">
        <v>216</v>
      </c>
      <c r="G27" s="33">
        <f>F27*I27</f>
        <v>432</v>
      </c>
      <c r="H27" s="34">
        <f t="shared" ref="H27:H37" si="2">G27*4.06</f>
        <v>1753.9199999999998</v>
      </c>
      <c r="I27" s="126">
        <f>IF(J8&gt;=1000,B9*1.5,B9)</f>
        <v>2</v>
      </c>
      <c r="J27" s="127"/>
    </row>
    <row r="28" spans="1:11" s="1" customFormat="1" ht="20.100000000000001" customHeight="1" x14ac:dyDescent="0.25">
      <c r="E28" s="5" t="s">
        <v>24</v>
      </c>
      <c r="F28" s="33">
        <v>528</v>
      </c>
      <c r="G28" s="33">
        <f>F28*I28</f>
        <v>0</v>
      </c>
      <c r="H28" s="34">
        <f t="shared" si="2"/>
        <v>0</v>
      </c>
      <c r="I28" s="122">
        <f>B11</f>
        <v>0</v>
      </c>
      <c r="J28" s="123"/>
    </row>
    <row r="29" spans="1:11" s="1" customFormat="1" ht="20.100000000000001" customHeight="1" x14ac:dyDescent="0.25">
      <c r="E29" s="5" t="s">
        <v>54</v>
      </c>
      <c r="F29" s="33"/>
      <c r="G29" s="33"/>
      <c r="H29" s="34"/>
      <c r="I29" s="113">
        <f>B15*B9</f>
        <v>0</v>
      </c>
      <c r="J29" s="114"/>
    </row>
    <row r="30" spans="1:11" s="1" customFormat="1" ht="20.100000000000001" customHeight="1" x14ac:dyDescent="0.25">
      <c r="E30" s="5" t="s">
        <v>25</v>
      </c>
      <c r="F30" s="33">
        <v>32.92</v>
      </c>
      <c r="G30" s="33">
        <f>F30*I30</f>
        <v>131.68</v>
      </c>
      <c r="H30" s="34">
        <f t="shared" si="2"/>
        <v>534.62080000000003</v>
      </c>
      <c r="I30" s="122">
        <f>B9*2-B11</f>
        <v>4</v>
      </c>
      <c r="J30" s="123"/>
    </row>
    <row r="31" spans="1:11" ht="20.100000000000001" customHeight="1" x14ac:dyDescent="0.3">
      <c r="A31" s="1"/>
      <c r="B31" s="1"/>
      <c r="C31" s="1"/>
      <c r="D31" s="1"/>
      <c r="E31" s="5" t="s">
        <v>49</v>
      </c>
      <c r="F31" s="33">
        <v>6.56</v>
      </c>
      <c r="G31" s="33">
        <f>F31*I31</f>
        <v>39.36</v>
      </c>
      <c r="H31" s="34">
        <f t="shared" si="2"/>
        <v>159.80159999999998</v>
      </c>
      <c r="I31" s="120">
        <f>CEILING((J16-2)*J7/1000,1)</f>
        <v>6</v>
      </c>
      <c r="J31" s="121"/>
      <c r="K31" s="21"/>
    </row>
    <row r="32" spans="1:11" ht="20.100000000000001" customHeight="1" x14ac:dyDescent="0.3">
      <c r="A32" s="1"/>
      <c r="B32" s="1"/>
      <c r="C32" s="1"/>
      <c r="D32" s="1"/>
      <c r="E32" s="5" t="s">
        <v>12</v>
      </c>
      <c r="F32" s="33">
        <v>9.0500000000000007</v>
      </c>
      <c r="G32" s="33">
        <f t="shared" ref="G32:G37" si="3">F32*I32</f>
        <v>36.200000000000003</v>
      </c>
      <c r="H32" s="34">
        <f t="shared" si="2"/>
        <v>146.97200000000001</v>
      </c>
      <c r="I32" s="120">
        <f>CEILING(I15*2/1000,1)</f>
        <v>4</v>
      </c>
      <c r="J32" s="121"/>
    </row>
    <row r="33" spans="1:10" ht="21" customHeight="1" x14ac:dyDescent="0.3">
      <c r="A33" s="1"/>
      <c r="B33" s="1"/>
      <c r="C33" s="1"/>
      <c r="D33" s="1"/>
      <c r="E33" s="60" t="s">
        <v>56</v>
      </c>
      <c r="F33" s="33">
        <v>22</v>
      </c>
      <c r="G33" s="33">
        <f t="shared" si="3"/>
        <v>242</v>
      </c>
      <c r="H33" s="34">
        <f t="shared" si="2"/>
        <v>982.51999999999987</v>
      </c>
      <c r="I33" s="115">
        <f>CEILING(J16*J7/1000,1)</f>
        <v>11</v>
      </c>
      <c r="J33" s="116"/>
    </row>
    <row r="34" spans="1:10" ht="20.100000000000001" customHeight="1" x14ac:dyDescent="0.3">
      <c r="A34" s="1"/>
      <c r="B34" s="1"/>
      <c r="C34" s="1"/>
      <c r="D34" s="1"/>
      <c r="E34" s="5" t="s">
        <v>44</v>
      </c>
      <c r="F34" s="33">
        <v>0.8</v>
      </c>
      <c r="G34" s="33">
        <f t="shared" si="3"/>
        <v>11.468800000000002</v>
      </c>
      <c r="H34" s="34">
        <f t="shared" si="2"/>
        <v>46.563328000000006</v>
      </c>
      <c r="I34" s="122">
        <f>I17*J17/250</f>
        <v>14.336</v>
      </c>
      <c r="J34" s="123"/>
    </row>
    <row r="35" spans="1:10" ht="20.100000000000001" customHeight="1" x14ac:dyDescent="0.3">
      <c r="A35" s="1"/>
      <c r="B35" s="1"/>
      <c r="C35" s="1"/>
      <c r="D35" s="1"/>
      <c r="E35" s="42" t="s">
        <v>45</v>
      </c>
      <c r="F35" s="43">
        <v>0.39</v>
      </c>
      <c r="G35" s="43">
        <f t="shared" si="3"/>
        <v>49.054979999999993</v>
      </c>
      <c r="H35" s="34">
        <f t="shared" si="2"/>
        <v>199.16321879999995</v>
      </c>
      <c r="I35" s="124">
        <f>16*B9+I16*J16/250+I24*J24/250*2+I20/400*J20</f>
        <v>125.78199999999998</v>
      </c>
      <c r="J35" s="125"/>
    </row>
    <row r="36" spans="1:10" ht="20.100000000000001" customHeight="1" x14ac:dyDescent="0.3">
      <c r="A36" s="1"/>
      <c r="B36" s="1"/>
      <c r="C36" s="1"/>
      <c r="D36" s="1"/>
      <c r="E36" s="5" t="s">
        <v>46</v>
      </c>
      <c r="F36" s="40">
        <v>0.31</v>
      </c>
      <c r="G36" s="33">
        <f t="shared" si="3"/>
        <v>0</v>
      </c>
      <c r="H36" s="34">
        <f t="shared" si="2"/>
        <v>0</v>
      </c>
      <c r="I36" s="113">
        <f>J23*2</f>
        <v>0</v>
      </c>
      <c r="J36" s="114"/>
    </row>
    <row r="37" spans="1:10" ht="20.100000000000001" customHeight="1" thickBot="1" x14ac:dyDescent="0.35">
      <c r="A37" s="1"/>
      <c r="B37" s="1"/>
      <c r="C37" s="1"/>
      <c r="D37" s="1"/>
      <c r="E37" s="6" t="s">
        <v>47</v>
      </c>
      <c r="F37" s="41">
        <v>0.31</v>
      </c>
      <c r="G37" s="33">
        <f t="shared" si="3"/>
        <v>0</v>
      </c>
      <c r="H37" s="34">
        <f t="shared" si="2"/>
        <v>0</v>
      </c>
      <c r="I37" s="117">
        <f>J22*2+I21*J21/250+J21+B15*2*2</f>
        <v>0</v>
      </c>
      <c r="J37" s="118"/>
    </row>
    <row r="38" spans="1:10" ht="20.100000000000001" customHeight="1" x14ac:dyDescent="0.3">
      <c r="A38" s="19"/>
      <c r="B38" s="19"/>
      <c r="C38" s="4"/>
    </row>
    <row r="39" spans="1:10" x14ac:dyDescent="0.3">
      <c r="J39" s="99" t="s">
        <v>61</v>
      </c>
    </row>
  </sheetData>
  <sheetProtection algorithmName="SHA-512" hashValue="lieR2ejAMiLoY1+9ojVs8SEBPFqbUI5q0omiLbIXi8jS1TSLt7DAaSBbAsRrHoGVN9iss+33uItzyjC0+NWWOA==" saltValue="IEd1YvS8D3K0+LQk6HKlgw==" spinCount="100000" sheet="1" objects="1" scenarios="1"/>
  <mergeCells count="27">
    <mergeCell ref="I29:J29"/>
    <mergeCell ref="I33:J33"/>
    <mergeCell ref="I36:J36"/>
    <mergeCell ref="I37:J37"/>
    <mergeCell ref="A2:J2"/>
    <mergeCell ref="I31:J31"/>
    <mergeCell ref="I32:J32"/>
    <mergeCell ref="I34:J34"/>
    <mergeCell ref="I35:J35"/>
    <mergeCell ref="I28:J28"/>
    <mergeCell ref="I27:J27"/>
    <mergeCell ref="I30:J30"/>
    <mergeCell ref="B7:C7"/>
    <mergeCell ref="B8:C8"/>
    <mergeCell ref="B9:C9"/>
    <mergeCell ref="B10:C10"/>
    <mergeCell ref="I26:J26"/>
    <mergeCell ref="B13:C13"/>
    <mergeCell ref="E7:E8"/>
    <mergeCell ref="B11:C11"/>
    <mergeCell ref="B15:C15"/>
    <mergeCell ref="A3:J3"/>
    <mergeCell ref="A5:C5"/>
    <mergeCell ref="E5:J5"/>
    <mergeCell ref="E10:E11"/>
    <mergeCell ref="B14:C14"/>
    <mergeCell ref="B12:C12"/>
  </mergeCells>
  <dataValidations count="5">
    <dataValidation type="whole" allowBlank="1" showInputMessage="1" showErrorMessage="1" sqref="B10:C10">
      <formula1>1</formula1>
      <formula2>4</formula2>
    </dataValidation>
    <dataValidation type="whole" allowBlank="1" showInputMessage="1" showErrorMessage="1" sqref="C16">
      <formula1>0</formula1>
      <formula2>2</formula2>
    </dataValidation>
    <dataValidation type="whole" allowBlank="1" showInputMessage="1" showErrorMessage="1" sqref="B9:C9">
      <formula1>1</formula1>
      <formula2>5</formula2>
    </dataValidation>
    <dataValidation type="whole" operator="greaterThan" allowBlank="1" showInputMessage="1" showErrorMessage="1" sqref="B12:B15 C12:C13">
      <formula1>-1</formula1>
    </dataValidation>
    <dataValidation type="whole" allowBlank="1" showInputMessage="1" showErrorMessage="1" sqref="B11:C11">
      <formula1>-1</formula1>
      <formula2>B9*2</formula2>
    </dataValidation>
  </dataValidations>
  <hyperlinks>
    <hyperlink ref="J39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61" orientation="landscape" r:id="rId1"/>
  <ignoredErrors>
    <ignoredError sqref="B1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5"/>
  <sheetViews>
    <sheetView zoomScale="70" zoomScaleNormal="70" workbookViewId="0">
      <selection activeCell="B7" sqref="B7:C7"/>
    </sheetView>
  </sheetViews>
  <sheetFormatPr defaultColWidth="9.140625" defaultRowHeight="18.75" x14ac:dyDescent="0.3"/>
  <cols>
    <col min="1" max="1" width="82.710937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6" width="14.28515625" style="4" hidden="1" customWidth="1"/>
    <col min="7" max="7" width="16.42578125" style="4" hidden="1" customWidth="1"/>
    <col min="8" max="8" width="20.7109375" style="4" hidden="1" customWidth="1"/>
    <col min="9" max="9" width="16.7109375" style="4" customWidth="1"/>
    <col min="10" max="10" width="13.42578125" style="4" customWidth="1"/>
    <col min="11" max="16384" width="9.140625" style="4"/>
  </cols>
  <sheetData>
    <row r="1" spans="1:10" x14ac:dyDescent="0.3">
      <c r="A1" s="81"/>
    </row>
    <row r="2" spans="1:10" s="1" customFormat="1" ht="27.6" customHeight="1" x14ac:dyDescent="0.25">
      <c r="A2" s="100" t="s">
        <v>23</v>
      </c>
      <c r="B2" s="100"/>
      <c r="C2" s="100"/>
      <c r="D2" s="101"/>
      <c r="E2" s="101"/>
      <c r="F2" s="101"/>
      <c r="G2" s="101"/>
      <c r="H2" s="101"/>
      <c r="I2" s="101"/>
      <c r="J2" s="101"/>
    </row>
    <row r="3" spans="1:10" s="13" customFormat="1" ht="26.1" customHeight="1" x14ac:dyDescent="0.25">
      <c r="A3" s="100" t="s">
        <v>36</v>
      </c>
      <c r="B3" s="100"/>
      <c r="C3" s="100"/>
      <c r="D3" s="101"/>
      <c r="E3" s="101"/>
      <c r="F3" s="101"/>
      <c r="G3" s="101"/>
      <c r="H3" s="101"/>
      <c r="I3" s="101"/>
      <c r="J3" s="101"/>
    </row>
    <row r="4" spans="1:10" s="13" customFormat="1" ht="20.100000000000001" customHeight="1" x14ac:dyDescent="0.3">
      <c r="A4" s="14"/>
      <c r="B4" s="14"/>
      <c r="C4" s="14"/>
      <c r="E4" s="17"/>
      <c r="F4" s="17"/>
      <c r="G4" s="17"/>
      <c r="H4" s="17"/>
      <c r="I4" s="17"/>
      <c r="J4" s="17"/>
    </row>
    <row r="5" spans="1:10" s="13" customFormat="1" ht="20.100000000000001" customHeight="1" x14ac:dyDescent="0.25">
      <c r="A5" s="102" t="s">
        <v>15</v>
      </c>
      <c r="B5" s="102"/>
      <c r="C5" s="102"/>
      <c r="E5" s="102" t="s">
        <v>14</v>
      </c>
      <c r="F5" s="102"/>
      <c r="G5" s="102"/>
      <c r="H5" s="102"/>
      <c r="I5" s="102"/>
      <c r="J5" s="102"/>
    </row>
    <row r="6" spans="1:10" s="13" customFormat="1" ht="20.100000000000001" customHeight="1" thickBot="1" x14ac:dyDescent="0.3">
      <c r="A6" s="22"/>
      <c r="B6" s="22"/>
      <c r="C6" s="22"/>
      <c r="E6" s="22"/>
      <c r="F6" s="22"/>
      <c r="G6" s="22"/>
      <c r="H6" s="22"/>
      <c r="I6" s="22"/>
      <c r="J6" s="22"/>
    </row>
    <row r="7" spans="1:10" s="1" customFormat="1" ht="20.100000000000001" customHeight="1" x14ac:dyDescent="0.25">
      <c r="A7" s="5" t="s">
        <v>38</v>
      </c>
      <c r="B7" s="128">
        <v>2600</v>
      </c>
      <c r="C7" s="129"/>
      <c r="E7" s="111" t="s">
        <v>8</v>
      </c>
      <c r="F7" s="25"/>
      <c r="G7" s="25"/>
      <c r="H7" s="25"/>
      <c r="I7" s="8" t="s">
        <v>6</v>
      </c>
      <c r="J7" s="68">
        <f>B7-10+16</f>
        <v>2606</v>
      </c>
    </row>
    <row r="8" spans="1:10" s="1" customFormat="1" ht="20.100000000000001" customHeight="1" thickBot="1" x14ac:dyDescent="0.3">
      <c r="A8" s="5" t="s">
        <v>32</v>
      </c>
      <c r="B8" s="128">
        <v>1800</v>
      </c>
      <c r="C8" s="129"/>
      <c r="E8" s="112"/>
      <c r="F8" s="26"/>
      <c r="G8" s="26"/>
      <c r="H8" s="26"/>
      <c r="I8" s="20" t="s">
        <v>7</v>
      </c>
      <c r="J8" s="69">
        <f>(B8+B10*12)/B9</f>
        <v>906</v>
      </c>
    </row>
    <row r="9" spans="1:10" s="1" customFormat="1" ht="20.100000000000001" customHeight="1" thickBot="1" x14ac:dyDescent="0.3">
      <c r="A9" s="5" t="s">
        <v>1</v>
      </c>
      <c r="B9" s="130">
        <v>2</v>
      </c>
      <c r="C9" s="131"/>
      <c r="E9" s="11"/>
      <c r="F9" s="11"/>
      <c r="G9" s="11"/>
      <c r="H9" s="11"/>
      <c r="I9" s="18"/>
      <c r="J9" s="70"/>
    </row>
    <row r="10" spans="1:10" s="1" customFormat="1" ht="20.100000000000001" customHeight="1" x14ac:dyDescent="0.3">
      <c r="A10" s="5" t="s">
        <v>2</v>
      </c>
      <c r="B10" s="130">
        <f>B9-1</f>
        <v>1</v>
      </c>
      <c r="C10" s="131"/>
      <c r="E10" s="103" t="s">
        <v>13</v>
      </c>
      <c r="F10" s="27"/>
      <c r="G10" s="27"/>
      <c r="H10" s="27"/>
      <c r="I10" s="24" t="s">
        <v>16</v>
      </c>
      <c r="J10" s="68">
        <f>J7-1.6*B12-26*B13-3.3*2</f>
        <v>2599.4</v>
      </c>
    </row>
    <row r="11" spans="1:10" s="1" customFormat="1" ht="20.100000000000001" customHeight="1" thickBot="1" x14ac:dyDescent="0.3">
      <c r="A11" s="7" t="s">
        <v>26</v>
      </c>
      <c r="B11" s="109">
        <v>0</v>
      </c>
      <c r="C11" s="110"/>
      <c r="E11" s="104"/>
      <c r="F11" s="54"/>
      <c r="G11" s="54"/>
      <c r="H11" s="54"/>
      <c r="I11" s="20" t="s">
        <v>7</v>
      </c>
      <c r="J11" s="69">
        <f>J8-1.6*2</f>
        <v>902.8</v>
      </c>
    </row>
    <row r="12" spans="1:10" s="1" customFormat="1" ht="20.100000000000001" customHeight="1" thickBot="1" x14ac:dyDescent="0.3">
      <c r="A12" s="42" t="s">
        <v>57</v>
      </c>
      <c r="B12" s="105">
        <v>0</v>
      </c>
      <c r="C12" s="106"/>
      <c r="E12" s="11"/>
      <c r="F12" s="11"/>
      <c r="G12" s="11"/>
      <c r="H12" s="11"/>
      <c r="I12" s="12"/>
      <c r="J12" s="23"/>
    </row>
    <row r="13" spans="1:10" s="1" customFormat="1" ht="20.100000000000001" customHeight="1" x14ac:dyDescent="0.25">
      <c r="A13" s="79" t="s">
        <v>58</v>
      </c>
      <c r="B13" s="109">
        <v>0</v>
      </c>
      <c r="C13" s="110"/>
      <c r="E13" s="10" t="s">
        <v>3</v>
      </c>
      <c r="F13" s="44" t="s">
        <v>43</v>
      </c>
      <c r="G13" s="44" t="s">
        <v>42</v>
      </c>
      <c r="H13" s="52" t="s">
        <v>48</v>
      </c>
      <c r="I13" s="8" t="s">
        <v>4</v>
      </c>
      <c r="J13" s="9" t="s">
        <v>5</v>
      </c>
    </row>
    <row r="14" spans="1:10" s="1" customFormat="1" ht="20.100000000000001" customHeight="1" x14ac:dyDescent="0.25">
      <c r="A14" s="79" t="s">
        <v>59</v>
      </c>
      <c r="B14" s="105">
        <v>0</v>
      </c>
      <c r="C14" s="106"/>
      <c r="E14" s="15" t="s">
        <v>20</v>
      </c>
      <c r="F14" s="29">
        <v>1352</v>
      </c>
      <c r="G14" s="34">
        <f>F14/5400*((I14*5/100)+I14)*J14</f>
        <v>464.26177777777775</v>
      </c>
      <c r="H14" s="34">
        <f>G14*4.06</f>
        <v>1884.9028177777775</v>
      </c>
      <c r="I14" s="80">
        <f>B8-2-32</f>
        <v>1766</v>
      </c>
      <c r="J14" s="72">
        <v>1</v>
      </c>
    </row>
    <row r="15" spans="1:10" s="1" customFormat="1" ht="20.100000000000001" customHeight="1" x14ac:dyDescent="0.25">
      <c r="A15" s="79" t="s">
        <v>55</v>
      </c>
      <c r="B15" s="132">
        <v>0</v>
      </c>
      <c r="C15" s="133"/>
      <c r="E15" s="15" t="s">
        <v>21</v>
      </c>
      <c r="F15" s="29">
        <v>636.4</v>
      </c>
      <c r="G15" s="34">
        <f>F15/5400*((I15*5/100)+I15)*J15</f>
        <v>222.4925111111111</v>
      </c>
      <c r="H15" s="34">
        <f>G15*4.06</f>
        <v>903.31959511111097</v>
      </c>
      <c r="I15" s="80">
        <f>B8-2</f>
        <v>1798</v>
      </c>
      <c r="J15" s="72">
        <v>1</v>
      </c>
    </row>
    <row r="16" spans="1:10" s="1" customFormat="1" ht="20.100000000000001" customHeight="1" thickBot="1" x14ac:dyDescent="0.3">
      <c r="A16" s="6" t="s">
        <v>60</v>
      </c>
      <c r="B16" s="61">
        <v>140</v>
      </c>
      <c r="C16" s="62">
        <v>0</v>
      </c>
      <c r="E16" s="5" t="s">
        <v>19</v>
      </c>
      <c r="F16" s="45">
        <v>357.5</v>
      </c>
      <c r="G16" s="45">
        <f>F16*J16</f>
        <v>1430</v>
      </c>
      <c r="H16" s="34">
        <f>G16*4.06</f>
        <v>5805.7999999999993</v>
      </c>
      <c r="I16" s="73">
        <f>J7</f>
        <v>2606</v>
      </c>
      <c r="J16" s="74">
        <f>B9*2</f>
        <v>4</v>
      </c>
    </row>
    <row r="17" spans="1:10" s="1" customFormat="1" ht="20.100000000000001" customHeight="1" x14ac:dyDescent="0.25">
      <c r="C17" s="67"/>
      <c r="E17" s="5" t="s">
        <v>27</v>
      </c>
      <c r="F17" s="45">
        <v>165</v>
      </c>
      <c r="G17" s="35">
        <f>(I17*J17/5400)*F17</f>
        <v>109.51111111111111</v>
      </c>
      <c r="H17" s="34">
        <f>G17*4.06</f>
        <v>444.61511111111105</v>
      </c>
      <c r="I17" s="73">
        <f>J8-2*5</f>
        <v>896</v>
      </c>
      <c r="J17" s="74">
        <f>(B12+2)*B9</f>
        <v>4</v>
      </c>
    </row>
    <row r="18" spans="1:10" s="1" customFormat="1" ht="20.100000000000001" customHeight="1" x14ac:dyDescent="0.25">
      <c r="A18" s="1" t="s">
        <v>30</v>
      </c>
      <c r="E18" s="5" t="s">
        <v>51</v>
      </c>
      <c r="F18" s="86"/>
      <c r="G18" s="86"/>
      <c r="H18" s="86"/>
      <c r="I18" s="73">
        <f>I17</f>
        <v>896</v>
      </c>
      <c r="J18" s="74">
        <f>B13*B9-IF(B13&gt;0,IF(C16&gt;0,B9,IF(B15&gt;0,B9,0)),0)</f>
        <v>0</v>
      </c>
    </row>
    <row r="19" spans="1:10" s="1" customFormat="1" ht="20.100000000000001" customHeight="1" x14ac:dyDescent="0.25">
      <c r="A19" s="1" t="s">
        <v>39</v>
      </c>
      <c r="E19" s="5" t="s">
        <v>52</v>
      </c>
      <c r="F19" s="86"/>
      <c r="G19" s="86"/>
      <c r="H19" s="86"/>
      <c r="I19" s="73">
        <f>I17-B16*C16-200*B15</f>
        <v>896</v>
      </c>
      <c r="J19" s="74">
        <f>IF(B13&gt;0,IF(C16&gt;0,B9,IF(B15&gt;0,B9,0)),0)</f>
        <v>0</v>
      </c>
    </row>
    <row r="20" spans="1:10" s="1" customFormat="1" ht="20.100000000000001" customHeight="1" x14ac:dyDescent="0.25">
      <c r="E20" s="5" t="s">
        <v>62</v>
      </c>
      <c r="F20" s="86"/>
      <c r="G20" s="86"/>
      <c r="H20" s="86"/>
      <c r="I20" s="75">
        <f>J7-20</f>
        <v>2586</v>
      </c>
      <c r="J20" s="76">
        <f>IF(J8&lt;1000,B9*2,B9*3)</f>
        <v>4</v>
      </c>
    </row>
    <row r="21" spans="1:10" s="1" customFormat="1" ht="20.100000000000001" customHeight="1" x14ac:dyDescent="0.25">
      <c r="E21" s="5" t="s">
        <v>50</v>
      </c>
      <c r="F21" s="49">
        <v>731.5</v>
      </c>
      <c r="G21" s="87">
        <f t="shared" ref="G21:G24" si="0">(I21*J21/5400)*F21</f>
        <v>0</v>
      </c>
      <c r="H21" s="88">
        <f t="shared" ref="H21:H24" si="1">G21*4.06</f>
        <v>0</v>
      </c>
      <c r="I21" s="75">
        <f>I17</f>
        <v>896</v>
      </c>
      <c r="J21" s="76">
        <f>B14*B9</f>
        <v>0</v>
      </c>
    </row>
    <row r="22" spans="1:10" s="1" customFormat="1" ht="20.100000000000001" customHeight="1" x14ac:dyDescent="0.25">
      <c r="E22" s="7" t="s">
        <v>53</v>
      </c>
      <c r="F22" s="46">
        <v>704</v>
      </c>
      <c r="G22" s="35">
        <f t="shared" si="0"/>
        <v>0</v>
      </c>
      <c r="H22" s="34">
        <f t="shared" si="1"/>
        <v>0</v>
      </c>
      <c r="I22" s="75">
        <f>B16</f>
        <v>140</v>
      </c>
      <c r="J22" s="76">
        <f>C16*B9</f>
        <v>0</v>
      </c>
    </row>
    <row r="23" spans="1:10" s="1" customFormat="1" ht="20.100000000000001" customHeight="1" x14ac:dyDescent="0.25">
      <c r="A23" s="1" t="s">
        <v>31</v>
      </c>
      <c r="E23" s="7" t="s">
        <v>28</v>
      </c>
      <c r="F23" s="46">
        <v>236.5</v>
      </c>
      <c r="G23" s="35">
        <f t="shared" si="0"/>
        <v>0</v>
      </c>
      <c r="H23" s="34">
        <f t="shared" si="1"/>
        <v>0</v>
      </c>
      <c r="I23" s="75">
        <v>23</v>
      </c>
      <c r="J23" s="76">
        <f>(C16+B14)*2*B9</f>
        <v>0</v>
      </c>
    </row>
    <row r="24" spans="1:10" s="1" customFormat="1" ht="20.100000000000001" customHeight="1" thickBot="1" x14ac:dyDescent="0.3">
      <c r="E24" s="6" t="s">
        <v>29</v>
      </c>
      <c r="F24" s="47">
        <v>561</v>
      </c>
      <c r="G24" s="35">
        <f t="shared" si="0"/>
        <v>0</v>
      </c>
      <c r="H24" s="34">
        <f t="shared" si="1"/>
        <v>0</v>
      </c>
      <c r="I24" s="77">
        <f>J8-45</f>
        <v>861</v>
      </c>
      <c r="J24" s="78">
        <f>(B13+B12+B14)*B9</f>
        <v>0</v>
      </c>
    </row>
    <row r="25" spans="1:10" s="1" customFormat="1" ht="20.100000000000001" customHeight="1" thickBot="1" x14ac:dyDescent="0.3">
      <c r="E25" s="3"/>
      <c r="F25" s="48"/>
      <c r="G25" s="48"/>
      <c r="H25" s="48"/>
      <c r="I25" s="64"/>
      <c r="J25" s="65"/>
    </row>
    <row r="26" spans="1:10" s="1" customFormat="1" ht="20.100000000000001" customHeight="1" x14ac:dyDescent="0.25">
      <c r="E26" s="16" t="s">
        <v>9</v>
      </c>
      <c r="F26" s="44" t="s">
        <v>43</v>
      </c>
      <c r="G26" s="44" t="s">
        <v>42</v>
      </c>
      <c r="H26" s="44"/>
      <c r="I26" s="107" t="s">
        <v>5</v>
      </c>
      <c r="J26" s="108"/>
    </row>
    <row r="27" spans="1:10" s="1" customFormat="1" ht="20.100000000000001" customHeight="1" x14ac:dyDescent="0.25">
      <c r="E27" s="5" t="s">
        <v>18</v>
      </c>
      <c r="F27" s="49">
        <v>216</v>
      </c>
      <c r="G27" s="49">
        <f>F27*I27</f>
        <v>432</v>
      </c>
      <c r="H27" s="34">
        <f t="shared" ref="H27:H33" si="2">G27*4.06</f>
        <v>1753.9199999999998</v>
      </c>
      <c r="I27" s="126">
        <f>IF(J8&gt;=1000,B9*1.5,B9)</f>
        <v>2</v>
      </c>
      <c r="J27" s="127"/>
    </row>
    <row r="28" spans="1:10" s="1" customFormat="1" ht="20.100000000000001" customHeight="1" x14ac:dyDescent="0.25">
      <c r="E28" s="5" t="s">
        <v>22</v>
      </c>
      <c r="F28" s="49">
        <v>180</v>
      </c>
      <c r="G28" s="49">
        <f t="shared" ref="G28:G33" si="3">F28*I28</f>
        <v>720</v>
      </c>
      <c r="H28" s="34">
        <f t="shared" si="2"/>
        <v>2923.2</v>
      </c>
      <c r="I28" s="122">
        <f>B9*2+B11</f>
        <v>4</v>
      </c>
      <c r="J28" s="123"/>
    </row>
    <row r="29" spans="1:10" s="1" customFormat="1" ht="20.100000000000001" customHeight="1" x14ac:dyDescent="0.25">
      <c r="E29" s="5" t="s">
        <v>54</v>
      </c>
      <c r="F29" s="49"/>
      <c r="G29" s="49"/>
      <c r="H29" s="34"/>
      <c r="I29" s="113">
        <f>B15*B9</f>
        <v>0</v>
      </c>
      <c r="J29" s="114"/>
    </row>
    <row r="30" spans="1:10" s="1" customFormat="1" ht="20.100000000000001" customHeight="1" x14ac:dyDescent="0.25">
      <c r="E30" s="5" t="s">
        <v>24</v>
      </c>
      <c r="F30" s="49">
        <v>528</v>
      </c>
      <c r="G30" s="49">
        <f t="shared" si="3"/>
        <v>0</v>
      </c>
      <c r="H30" s="34">
        <f t="shared" si="2"/>
        <v>0</v>
      </c>
      <c r="I30" s="122">
        <f>B11</f>
        <v>0</v>
      </c>
      <c r="J30" s="123"/>
    </row>
    <row r="31" spans="1:10" s="1" customFormat="1" ht="20.100000000000001" customHeight="1" x14ac:dyDescent="0.25">
      <c r="E31" s="5" t="s">
        <v>25</v>
      </c>
      <c r="F31" s="49">
        <v>32.92</v>
      </c>
      <c r="G31" s="49">
        <f t="shared" si="3"/>
        <v>131.68</v>
      </c>
      <c r="H31" s="34">
        <f t="shared" si="2"/>
        <v>534.62080000000003</v>
      </c>
      <c r="I31" s="122">
        <f>B9*2-B11</f>
        <v>4</v>
      </c>
      <c r="J31" s="123"/>
    </row>
    <row r="32" spans="1:10" ht="20.100000000000001" customHeight="1" x14ac:dyDescent="0.3">
      <c r="A32" s="1"/>
      <c r="B32" s="1"/>
      <c r="C32" s="1"/>
      <c r="D32" s="1"/>
      <c r="E32" s="5" t="s">
        <v>49</v>
      </c>
      <c r="F32" s="49">
        <v>6.56</v>
      </c>
      <c r="G32" s="49">
        <f t="shared" si="3"/>
        <v>52.48</v>
      </c>
      <c r="H32" s="34">
        <f t="shared" si="2"/>
        <v>213.06879999999995</v>
      </c>
      <c r="I32" s="120">
        <f>CEILING((J16-1)*J7/1000,1)</f>
        <v>8</v>
      </c>
      <c r="J32" s="121"/>
    </row>
    <row r="33" spans="1:10" ht="20.100000000000001" customHeight="1" x14ac:dyDescent="0.3">
      <c r="A33" s="1"/>
      <c r="B33" s="1"/>
      <c r="C33" s="1"/>
      <c r="D33" s="1"/>
      <c r="E33" s="5" t="s">
        <v>12</v>
      </c>
      <c r="F33" s="49">
        <v>9.0500000000000007</v>
      </c>
      <c r="G33" s="49">
        <f t="shared" si="3"/>
        <v>36.200000000000003</v>
      </c>
      <c r="H33" s="34">
        <f t="shared" si="2"/>
        <v>146.97200000000001</v>
      </c>
      <c r="I33" s="120">
        <f>CEILING(I15*2/1000,1)</f>
        <v>4</v>
      </c>
      <c r="J33" s="121"/>
    </row>
    <row r="34" spans="1:10" ht="20.100000000000001" customHeight="1" x14ac:dyDescent="0.3">
      <c r="A34" s="1"/>
      <c r="B34" s="1"/>
      <c r="C34" s="1"/>
      <c r="D34" s="1"/>
      <c r="E34" s="5" t="s">
        <v>11</v>
      </c>
      <c r="F34" s="49">
        <v>0.8</v>
      </c>
      <c r="G34" s="53">
        <f>F34*I34</f>
        <v>11.468800000000002</v>
      </c>
      <c r="H34" s="34">
        <f>G34*4.06</f>
        <v>46.563328000000006</v>
      </c>
      <c r="I34" s="113">
        <f>I17*J17/250</f>
        <v>14.336</v>
      </c>
      <c r="J34" s="114"/>
    </row>
    <row r="35" spans="1:10" ht="20.100000000000001" customHeight="1" x14ac:dyDescent="0.3">
      <c r="A35" s="1"/>
      <c r="B35" s="1"/>
      <c r="C35" s="1"/>
      <c r="D35" s="1"/>
      <c r="E35" s="5" t="s">
        <v>10</v>
      </c>
      <c r="F35" s="49">
        <v>0.39</v>
      </c>
      <c r="G35" s="53">
        <f>F35*I35</f>
        <v>38.826839999999997</v>
      </c>
      <c r="H35" s="34">
        <f>G35*4.06</f>
        <v>157.63697039999997</v>
      </c>
      <c r="I35" s="113">
        <f>16*B9+I16*J16/250+I24*J24/250*2+I20/400*J20</f>
        <v>99.555999999999997</v>
      </c>
      <c r="J35" s="114"/>
    </row>
    <row r="36" spans="1:10" ht="20.100000000000001" customHeight="1" x14ac:dyDescent="0.3">
      <c r="B36" s="4"/>
      <c r="C36" s="4"/>
      <c r="E36" s="5" t="s">
        <v>46</v>
      </c>
      <c r="F36" s="49">
        <v>0.31</v>
      </c>
      <c r="G36" s="49">
        <f>F36*I36</f>
        <v>0</v>
      </c>
      <c r="H36" s="34">
        <f>G36*4.06</f>
        <v>0</v>
      </c>
      <c r="I36" s="113">
        <f>J23*2</f>
        <v>0</v>
      </c>
      <c r="J36" s="114"/>
    </row>
    <row r="37" spans="1:10" ht="20.100000000000001" customHeight="1" thickBot="1" x14ac:dyDescent="0.35">
      <c r="B37" s="4"/>
      <c r="C37" s="4"/>
      <c r="E37" s="6" t="s">
        <v>47</v>
      </c>
      <c r="F37" s="50">
        <v>0.31</v>
      </c>
      <c r="G37" s="49">
        <f>F37*I37</f>
        <v>0</v>
      </c>
      <c r="H37" s="34">
        <f>G37*4.06</f>
        <v>0</v>
      </c>
      <c r="I37" s="117">
        <f>J22*2+I21*J21/250+J21+B15*2*2</f>
        <v>0</v>
      </c>
      <c r="J37" s="118"/>
    </row>
    <row r="38" spans="1:10" ht="20.100000000000001" customHeight="1" x14ac:dyDescent="0.3">
      <c r="B38" s="4"/>
      <c r="C38" s="4"/>
      <c r="E38" s="3"/>
      <c r="F38" s="51"/>
      <c r="G38" s="51"/>
      <c r="H38" s="51"/>
      <c r="I38" s="38"/>
      <c r="J38" s="39"/>
    </row>
    <row r="39" spans="1:10" ht="20.100000000000001" customHeight="1" x14ac:dyDescent="0.3">
      <c r="B39" s="4"/>
      <c r="C39" s="4"/>
      <c r="E39" s="84" t="s">
        <v>17</v>
      </c>
      <c r="F39" s="84"/>
      <c r="G39" s="84"/>
      <c r="H39" s="84"/>
      <c r="I39" s="85"/>
      <c r="J39" s="85"/>
    </row>
    <row r="40" spans="1:10" ht="36" customHeight="1" x14ac:dyDescent="0.3">
      <c r="B40" s="4"/>
      <c r="C40" s="4"/>
      <c r="E40" s="134" t="s">
        <v>40</v>
      </c>
      <c r="F40" s="134"/>
      <c r="G40" s="134"/>
      <c r="H40" s="134"/>
      <c r="I40" s="135"/>
      <c r="J40" s="135"/>
    </row>
    <row r="41" spans="1:10" ht="36" customHeight="1" x14ac:dyDescent="0.3">
      <c r="A41" s="19"/>
      <c r="B41" s="19"/>
      <c r="C41" s="4"/>
    </row>
    <row r="42" spans="1:10" ht="20.100000000000001" hidden="1" customHeight="1" x14ac:dyDescent="0.3"/>
    <row r="43" spans="1:10" x14ac:dyDescent="0.3">
      <c r="J43" s="99" t="s">
        <v>61</v>
      </c>
    </row>
    <row r="45" spans="1:10" x14ac:dyDescent="0.3">
      <c r="E45" s="36"/>
      <c r="F45" s="37"/>
      <c r="G45" s="37"/>
      <c r="H45" s="37"/>
    </row>
  </sheetData>
  <sheetProtection algorithmName="SHA-512" hashValue="NHEb64PZ5+j9s2/8gcoEMcZFgUrEsSvZZu2SvnRKsWkwlgLG10hVaofcNLTZQEaX2kV2fZEt3tO7GwF/A5uUag==" saltValue="xCjepBNgoMRH8IMUcDqMfQ==" spinCount="100000" sheet="1" objects="1" scenarios="1"/>
  <mergeCells count="28">
    <mergeCell ref="I28:J28"/>
    <mergeCell ref="I30:J30"/>
    <mergeCell ref="E40:J40"/>
    <mergeCell ref="I32:J32"/>
    <mergeCell ref="I33:J33"/>
    <mergeCell ref="I35:J35"/>
    <mergeCell ref="I36:J36"/>
    <mergeCell ref="I34:J34"/>
    <mergeCell ref="I37:J37"/>
    <mergeCell ref="I31:J31"/>
    <mergeCell ref="I29:J29"/>
    <mergeCell ref="B9:C9"/>
    <mergeCell ref="E10:E11"/>
    <mergeCell ref="B10:C10"/>
    <mergeCell ref="B11:C11"/>
    <mergeCell ref="B14:C14"/>
    <mergeCell ref="A2:J2"/>
    <mergeCell ref="A5:C5"/>
    <mergeCell ref="E5:J5"/>
    <mergeCell ref="E7:E8"/>
    <mergeCell ref="B7:C7"/>
    <mergeCell ref="A3:J3"/>
    <mergeCell ref="B8:C8"/>
    <mergeCell ref="B15:C15"/>
    <mergeCell ref="B13:C13"/>
    <mergeCell ref="I26:J26"/>
    <mergeCell ref="I27:J27"/>
    <mergeCell ref="B12:C12"/>
  </mergeCells>
  <dataValidations count="5">
    <dataValidation type="whole" allowBlank="1" showInputMessage="1" showErrorMessage="1" sqref="B11:C11">
      <formula1>-1</formula1>
      <formula2>B9*2</formula2>
    </dataValidation>
    <dataValidation type="whole" operator="greaterThan" allowBlank="1" showInputMessage="1" showErrorMessage="1" sqref="B12:C14 B15">
      <formula1>-1</formula1>
    </dataValidation>
    <dataValidation type="whole" allowBlank="1" showInputMessage="1" showErrorMessage="1" sqref="B9:C9">
      <formula1>1</formula1>
      <formula2>5</formula2>
    </dataValidation>
    <dataValidation type="whole" allowBlank="1" showInputMessage="1" showErrorMessage="1" sqref="C16">
      <formula1>0</formula1>
      <formula2>2</formula2>
    </dataValidation>
    <dataValidation type="whole" allowBlank="1" showInputMessage="1" showErrorMessage="1" sqref="B10:C10">
      <formula1>1</formula1>
      <formula2>4</formula2>
    </dataValidation>
  </dataValidations>
  <hyperlinks>
    <hyperlink ref="J43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ignoredErrors>
    <ignoredError sqref="B10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6"/>
  <sheetViews>
    <sheetView zoomScale="70" zoomScaleNormal="70" workbookViewId="0">
      <selection activeCell="B7" sqref="B7:C7"/>
    </sheetView>
  </sheetViews>
  <sheetFormatPr defaultColWidth="9.140625" defaultRowHeight="18.75" x14ac:dyDescent="0.3"/>
  <cols>
    <col min="1" max="1" width="82.710937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8" width="17.5703125" style="4" hidden="1" customWidth="1"/>
    <col min="9" max="9" width="16.7109375" style="4" customWidth="1"/>
    <col min="10" max="10" width="13.42578125" style="4" customWidth="1"/>
    <col min="11" max="16384" width="9.140625" style="4"/>
  </cols>
  <sheetData>
    <row r="1" spans="1:10" x14ac:dyDescent="0.3">
      <c r="A1" s="81"/>
    </row>
    <row r="2" spans="1:10" s="1" customFormat="1" ht="27.6" customHeight="1" x14ac:dyDescent="0.25">
      <c r="A2" s="100" t="s">
        <v>23</v>
      </c>
      <c r="B2" s="100"/>
      <c r="C2" s="100"/>
      <c r="D2" s="101"/>
      <c r="E2" s="101"/>
      <c r="F2" s="101"/>
      <c r="G2" s="101"/>
      <c r="H2" s="101"/>
      <c r="I2" s="101"/>
      <c r="J2" s="101"/>
    </row>
    <row r="3" spans="1:10" s="13" customFormat="1" ht="26.1" customHeight="1" x14ac:dyDescent="0.25">
      <c r="A3" s="100" t="s">
        <v>37</v>
      </c>
      <c r="B3" s="100"/>
      <c r="C3" s="100"/>
      <c r="D3" s="101"/>
      <c r="E3" s="101"/>
      <c r="F3" s="101"/>
      <c r="G3" s="101"/>
      <c r="H3" s="101"/>
      <c r="I3" s="101"/>
      <c r="J3" s="101"/>
    </row>
    <row r="4" spans="1:10" s="13" customFormat="1" ht="20.100000000000001" customHeight="1" x14ac:dyDescent="0.3">
      <c r="A4" s="14"/>
      <c r="B4" s="14"/>
      <c r="C4" s="14"/>
      <c r="E4" s="17"/>
      <c r="F4" s="17"/>
      <c r="G4" s="17"/>
      <c r="H4" s="17"/>
      <c r="I4" s="17"/>
      <c r="J4" s="17"/>
    </row>
    <row r="5" spans="1:10" s="13" customFormat="1" ht="20.100000000000001" customHeight="1" x14ac:dyDescent="0.25">
      <c r="A5" s="102" t="s">
        <v>15</v>
      </c>
      <c r="B5" s="102"/>
      <c r="C5" s="102"/>
      <c r="E5" s="102" t="s">
        <v>14</v>
      </c>
      <c r="F5" s="102"/>
      <c r="G5" s="102"/>
      <c r="H5" s="102"/>
      <c r="I5" s="102"/>
      <c r="J5" s="102"/>
    </row>
    <row r="6" spans="1:10" s="13" customFormat="1" ht="20.100000000000001" customHeight="1" thickBot="1" x14ac:dyDescent="0.3">
      <c r="A6" s="22"/>
      <c r="B6" s="22"/>
      <c r="C6" s="22"/>
      <c r="E6" s="22"/>
      <c r="F6" s="22"/>
      <c r="G6" s="22"/>
      <c r="H6" s="22"/>
      <c r="I6" s="22"/>
      <c r="J6" s="22"/>
    </row>
    <row r="7" spans="1:10" s="1" customFormat="1" ht="20.100000000000001" customHeight="1" x14ac:dyDescent="0.25">
      <c r="A7" s="5" t="s">
        <v>0</v>
      </c>
      <c r="B7" s="128">
        <v>2600</v>
      </c>
      <c r="C7" s="129"/>
      <c r="E7" s="111" t="s">
        <v>8</v>
      </c>
      <c r="F7" s="25"/>
      <c r="G7" s="25"/>
      <c r="H7" s="25"/>
      <c r="I7" s="8" t="s">
        <v>6</v>
      </c>
      <c r="J7" s="68">
        <f>B7-10-22</f>
        <v>2568</v>
      </c>
    </row>
    <row r="8" spans="1:10" s="1" customFormat="1" ht="20.100000000000001" customHeight="1" thickBot="1" x14ac:dyDescent="0.3">
      <c r="A8" s="5" t="s">
        <v>32</v>
      </c>
      <c r="B8" s="128">
        <v>1800</v>
      </c>
      <c r="C8" s="129"/>
      <c r="E8" s="112"/>
      <c r="F8" s="26"/>
      <c r="G8" s="26"/>
      <c r="H8" s="26"/>
      <c r="I8" s="20" t="s">
        <v>7</v>
      </c>
      <c r="J8" s="69">
        <f>(B8+B10*12)/B9</f>
        <v>906</v>
      </c>
    </row>
    <row r="9" spans="1:10" s="1" customFormat="1" ht="20.100000000000001" customHeight="1" thickBot="1" x14ac:dyDescent="0.3">
      <c r="A9" s="5" t="s">
        <v>1</v>
      </c>
      <c r="B9" s="130">
        <v>2</v>
      </c>
      <c r="C9" s="131"/>
      <c r="E9" s="11"/>
      <c r="F9" s="11"/>
      <c r="G9" s="11"/>
      <c r="H9" s="11"/>
      <c r="I9" s="18"/>
      <c r="J9" s="70"/>
    </row>
    <row r="10" spans="1:10" s="1" customFormat="1" ht="20.100000000000001" customHeight="1" x14ac:dyDescent="0.3">
      <c r="A10" s="5" t="s">
        <v>2</v>
      </c>
      <c r="B10" s="137">
        <f>B9-1</f>
        <v>1</v>
      </c>
      <c r="C10" s="138"/>
      <c r="E10" s="103" t="s">
        <v>13</v>
      </c>
      <c r="F10" s="27"/>
      <c r="G10" s="27"/>
      <c r="H10" s="27"/>
      <c r="I10" s="24" t="s">
        <v>16</v>
      </c>
      <c r="J10" s="68">
        <f>J7-1.6*B12-26*B13-3.3*2</f>
        <v>2561.4</v>
      </c>
    </row>
    <row r="11" spans="1:10" s="1" customFormat="1" ht="20.100000000000001" customHeight="1" thickBot="1" x14ac:dyDescent="0.3">
      <c r="A11" s="7" t="s">
        <v>26</v>
      </c>
      <c r="B11" s="105">
        <v>0</v>
      </c>
      <c r="C11" s="106"/>
      <c r="E11" s="136"/>
      <c r="F11" s="54"/>
      <c r="G11" s="54"/>
      <c r="H11" s="54"/>
      <c r="I11" s="20" t="s">
        <v>7</v>
      </c>
      <c r="J11" s="69">
        <f>J8-1.6*2</f>
        <v>902.8</v>
      </c>
    </row>
    <row r="12" spans="1:10" s="1" customFormat="1" ht="20.100000000000001" customHeight="1" thickBot="1" x14ac:dyDescent="0.3">
      <c r="A12" s="42" t="s">
        <v>57</v>
      </c>
      <c r="B12" s="105">
        <v>0</v>
      </c>
      <c r="C12" s="106"/>
      <c r="E12" s="11"/>
      <c r="F12" s="11"/>
      <c r="G12" s="11"/>
      <c r="H12" s="11"/>
      <c r="I12" s="12"/>
      <c r="J12" s="23"/>
    </row>
    <row r="13" spans="1:10" s="1" customFormat="1" ht="20.100000000000001" customHeight="1" x14ac:dyDescent="0.25">
      <c r="A13" s="79" t="s">
        <v>58</v>
      </c>
      <c r="B13" s="105">
        <v>0</v>
      </c>
      <c r="C13" s="106"/>
      <c r="E13" s="10" t="s">
        <v>3</v>
      </c>
      <c r="F13" s="44" t="s">
        <v>43</v>
      </c>
      <c r="G13" s="44" t="s">
        <v>42</v>
      </c>
      <c r="H13" s="52" t="s">
        <v>48</v>
      </c>
      <c r="I13" s="8" t="s">
        <v>4</v>
      </c>
      <c r="J13" s="9" t="s">
        <v>5</v>
      </c>
    </row>
    <row r="14" spans="1:10" s="1" customFormat="1" ht="20.100000000000001" customHeight="1" x14ac:dyDescent="0.25">
      <c r="A14" s="79" t="s">
        <v>59</v>
      </c>
      <c r="B14" s="105">
        <v>0</v>
      </c>
      <c r="C14" s="106"/>
      <c r="E14" s="15" t="s">
        <v>20</v>
      </c>
      <c r="F14" s="29">
        <v>1352</v>
      </c>
      <c r="G14" s="34">
        <f>F14/5400*((I14*5/100)+I14)*J14</f>
        <v>472.67422222222223</v>
      </c>
      <c r="H14" s="34">
        <f>G14*4.06</f>
        <v>1919.0573422222221</v>
      </c>
      <c r="I14" s="71">
        <f>B8-2</f>
        <v>1798</v>
      </c>
      <c r="J14" s="72">
        <v>1</v>
      </c>
    </row>
    <row r="15" spans="1:10" s="1" customFormat="1" ht="20.100000000000001" customHeight="1" x14ac:dyDescent="0.25">
      <c r="A15" s="79" t="s">
        <v>55</v>
      </c>
      <c r="B15" s="132">
        <v>0</v>
      </c>
      <c r="C15" s="133"/>
      <c r="E15" s="15" t="s">
        <v>21</v>
      </c>
      <c r="F15" s="29">
        <v>636.4</v>
      </c>
      <c r="G15" s="34">
        <f>F15/5400*((I15*5/100)+I15)*J15</f>
        <v>222.4925111111111</v>
      </c>
      <c r="H15" s="34">
        <f t="shared" ref="H15:H24" si="0">G15*4.06</f>
        <v>903.31959511111097</v>
      </c>
      <c r="I15" s="71">
        <f>B8-2</f>
        <v>1798</v>
      </c>
      <c r="J15" s="72">
        <v>1</v>
      </c>
    </row>
    <row r="16" spans="1:10" s="1" customFormat="1" ht="20.100000000000001" customHeight="1" thickBot="1" x14ac:dyDescent="0.3">
      <c r="A16" s="6" t="s">
        <v>60</v>
      </c>
      <c r="B16" s="61">
        <v>140</v>
      </c>
      <c r="C16" s="62">
        <v>0</v>
      </c>
      <c r="E16" s="5" t="s">
        <v>19</v>
      </c>
      <c r="F16" s="30">
        <v>357.5</v>
      </c>
      <c r="G16" s="30">
        <f>F16*J16</f>
        <v>1430</v>
      </c>
      <c r="H16" s="34">
        <f t="shared" si="0"/>
        <v>5805.7999999999993</v>
      </c>
      <c r="I16" s="73">
        <f>J7</f>
        <v>2568</v>
      </c>
      <c r="J16" s="74">
        <f>B9*2</f>
        <v>4</v>
      </c>
    </row>
    <row r="17" spans="1:10" s="1" customFormat="1" ht="20.100000000000001" customHeight="1" x14ac:dyDescent="0.25">
      <c r="E17" s="5" t="s">
        <v>27</v>
      </c>
      <c r="F17" s="30">
        <v>165</v>
      </c>
      <c r="G17" s="35">
        <f t="shared" ref="G17:G24" si="1">(I17*J17/5400)*F17</f>
        <v>109.51111111111111</v>
      </c>
      <c r="H17" s="34">
        <f t="shared" si="0"/>
        <v>444.61511111111105</v>
      </c>
      <c r="I17" s="73">
        <f>J8-2*5</f>
        <v>896</v>
      </c>
      <c r="J17" s="74">
        <f>(B12+2)*B9</f>
        <v>4</v>
      </c>
    </row>
    <row r="18" spans="1:10" s="1" customFormat="1" ht="20.100000000000001" customHeight="1" x14ac:dyDescent="0.25">
      <c r="A18" s="1" t="s">
        <v>30</v>
      </c>
      <c r="E18" s="5" t="s">
        <v>51</v>
      </c>
      <c r="F18" s="30">
        <v>731.5</v>
      </c>
      <c r="G18" s="35">
        <f t="shared" si="1"/>
        <v>0</v>
      </c>
      <c r="H18" s="34">
        <f t="shared" si="0"/>
        <v>0</v>
      </c>
      <c r="I18" s="73">
        <f>I17</f>
        <v>896</v>
      </c>
      <c r="J18" s="74">
        <f>B13*B9-IF(B13&gt;0,IF(C16&gt;0,B9,IF(B15&gt;0,B9,0)),0)</f>
        <v>0</v>
      </c>
    </row>
    <row r="19" spans="1:10" s="1" customFormat="1" ht="20.100000000000001" customHeight="1" x14ac:dyDescent="0.25">
      <c r="C19" s="66"/>
      <c r="E19" s="5" t="s">
        <v>52</v>
      </c>
      <c r="F19" s="30">
        <v>732.5</v>
      </c>
      <c r="G19" s="35">
        <f t="shared" si="1"/>
        <v>0</v>
      </c>
      <c r="H19" s="34">
        <f t="shared" ref="H19" si="2">G19*4.06</f>
        <v>0</v>
      </c>
      <c r="I19" s="73">
        <f>I17-B16*C16-200*B15</f>
        <v>896</v>
      </c>
      <c r="J19" s="74">
        <f>IF(B13&gt;0,IF(C16&gt;0,B9,IF(B15&gt;0,B9,0)),0)</f>
        <v>0</v>
      </c>
    </row>
    <row r="20" spans="1:10" s="1" customFormat="1" ht="20.100000000000001" customHeight="1" x14ac:dyDescent="0.25">
      <c r="C20" s="66"/>
      <c r="E20" s="5" t="s">
        <v>62</v>
      </c>
      <c r="F20" s="31"/>
      <c r="G20" s="35"/>
      <c r="H20" s="34"/>
      <c r="I20" s="75">
        <f>J7-20</f>
        <v>2548</v>
      </c>
      <c r="J20" s="76">
        <f>IF(J8&lt;1000,B9*2,B9*3)</f>
        <v>4</v>
      </c>
    </row>
    <row r="21" spans="1:10" s="1" customFormat="1" ht="20.100000000000001" customHeight="1" x14ac:dyDescent="0.25">
      <c r="E21" s="7" t="s">
        <v>50</v>
      </c>
      <c r="F21" s="31">
        <v>704</v>
      </c>
      <c r="G21" s="35">
        <f t="shared" si="1"/>
        <v>0</v>
      </c>
      <c r="H21" s="34">
        <f t="shared" si="0"/>
        <v>0</v>
      </c>
      <c r="I21" s="75">
        <f>I17</f>
        <v>896</v>
      </c>
      <c r="J21" s="76">
        <f>B14*B9</f>
        <v>0</v>
      </c>
    </row>
    <row r="22" spans="1:10" s="1" customFormat="1" ht="20.100000000000001" customHeight="1" x14ac:dyDescent="0.25">
      <c r="E22" s="7" t="s">
        <v>53</v>
      </c>
      <c r="F22" s="31">
        <v>705</v>
      </c>
      <c r="G22" s="35">
        <f t="shared" si="1"/>
        <v>0</v>
      </c>
      <c r="H22" s="34">
        <f t="shared" ref="H22" si="3">G22*4.06</f>
        <v>0</v>
      </c>
      <c r="I22" s="75">
        <f>B16</f>
        <v>140</v>
      </c>
      <c r="J22" s="76">
        <f>C16*B9</f>
        <v>0</v>
      </c>
    </row>
    <row r="23" spans="1:10" s="1" customFormat="1" ht="20.100000000000001" customHeight="1" x14ac:dyDescent="0.25">
      <c r="E23" s="7" t="s">
        <v>28</v>
      </c>
      <c r="F23" s="31">
        <v>236.5</v>
      </c>
      <c r="G23" s="35">
        <f t="shared" si="1"/>
        <v>0</v>
      </c>
      <c r="H23" s="34">
        <f t="shared" si="0"/>
        <v>0</v>
      </c>
      <c r="I23" s="75">
        <v>23</v>
      </c>
      <c r="J23" s="76">
        <f>(C16+B14)*2*B9</f>
        <v>0</v>
      </c>
    </row>
    <row r="24" spans="1:10" s="1" customFormat="1" ht="20.100000000000001" customHeight="1" thickBot="1" x14ac:dyDescent="0.3">
      <c r="E24" s="6" t="s">
        <v>29</v>
      </c>
      <c r="F24" s="32">
        <v>561</v>
      </c>
      <c r="G24" s="59">
        <f t="shared" si="1"/>
        <v>0</v>
      </c>
      <c r="H24" s="34">
        <f t="shared" si="0"/>
        <v>0</v>
      </c>
      <c r="I24" s="77">
        <f>J8-45</f>
        <v>861</v>
      </c>
      <c r="J24" s="78">
        <f>(B13+B12+B14)*B9</f>
        <v>0</v>
      </c>
    </row>
    <row r="25" spans="1:10" s="1" customFormat="1" ht="20.100000000000001" customHeight="1" thickBot="1" x14ac:dyDescent="0.3">
      <c r="E25" s="3"/>
      <c r="F25" s="55"/>
      <c r="G25" s="55"/>
      <c r="H25" s="55"/>
      <c r="I25" s="64"/>
      <c r="J25" s="65"/>
    </row>
    <row r="26" spans="1:10" s="1" customFormat="1" ht="20.100000000000001" customHeight="1" x14ac:dyDescent="0.25">
      <c r="E26" s="16" t="s">
        <v>9</v>
      </c>
      <c r="F26" s="56" t="s">
        <v>43</v>
      </c>
      <c r="G26" s="56" t="s">
        <v>42</v>
      </c>
      <c r="H26" s="56"/>
      <c r="I26" s="139" t="s">
        <v>5</v>
      </c>
      <c r="J26" s="140"/>
    </row>
    <row r="27" spans="1:10" s="1" customFormat="1" ht="20.100000000000001" customHeight="1" x14ac:dyDescent="0.25">
      <c r="A27" s="1" t="s">
        <v>31</v>
      </c>
      <c r="E27" s="5" t="s">
        <v>18</v>
      </c>
      <c r="F27" s="57">
        <v>216</v>
      </c>
      <c r="G27" s="57">
        <f t="shared" ref="G27:G38" si="4">F27*I27</f>
        <v>432</v>
      </c>
      <c r="H27" s="34">
        <f t="shared" ref="H27:H38" si="5">G27*4.06</f>
        <v>1753.9199999999998</v>
      </c>
      <c r="I27" s="141">
        <f>IF(J8&gt;=1000,B9*1.5,B9)</f>
        <v>2</v>
      </c>
      <c r="J27" s="142"/>
    </row>
    <row r="28" spans="1:10" s="1" customFormat="1" ht="20.100000000000001" customHeight="1" x14ac:dyDescent="0.25">
      <c r="E28" s="5" t="s">
        <v>22</v>
      </c>
      <c r="F28" s="57">
        <v>180</v>
      </c>
      <c r="G28" s="57">
        <f t="shared" si="4"/>
        <v>720</v>
      </c>
      <c r="H28" s="34">
        <f t="shared" si="5"/>
        <v>2923.2</v>
      </c>
      <c r="I28" s="113">
        <f>B9*2+B11</f>
        <v>4</v>
      </c>
      <c r="J28" s="114"/>
    </row>
    <row r="29" spans="1:10" s="1" customFormat="1" ht="20.100000000000001" customHeight="1" x14ac:dyDescent="0.25">
      <c r="E29" s="5" t="s">
        <v>54</v>
      </c>
      <c r="F29" s="57"/>
      <c r="G29" s="57"/>
      <c r="H29" s="34"/>
      <c r="I29" s="113">
        <f>B15*B9</f>
        <v>0</v>
      </c>
      <c r="J29" s="114"/>
    </row>
    <row r="30" spans="1:10" s="1" customFormat="1" ht="20.100000000000001" customHeight="1" x14ac:dyDescent="0.25">
      <c r="E30" s="5" t="s">
        <v>24</v>
      </c>
      <c r="F30" s="57">
        <v>528</v>
      </c>
      <c r="G30" s="57">
        <f t="shared" si="4"/>
        <v>0</v>
      </c>
      <c r="H30" s="34">
        <f t="shared" si="5"/>
        <v>0</v>
      </c>
      <c r="I30" s="113">
        <f>B11</f>
        <v>0</v>
      </c>
      <c r="J30" s="114"/>
    </row>
    <row r="31" spans="1:10" s="1" customFormat="1" ht="20.100000000000001" customHeight="1" x14ac:dyDescent="0.25">
      <c r="E31" s="5" t="s">
        <v>25</v>
      </c>
      <c r="F31" s="57">
        <v>32.92</v>
      </c>
      <c r="G31" s="57">
        <f t="shared" si="4"/>
        <v>131.68</v>
      </c>
      <c r="H31" s="34">
        <f t="shared" si="5"/>
        <v>534.62080000000003</v>
      </c>
      <c r="I31" s="113">
        <f>B9*2-B11</f>
        <v>4</v>
      </c>
      <c r="J31" s="114"/>
    </row>
    <row r="32" spans="1:10" s="1" customFormat="1" ht="20.100000000000001" customHeight="1" x14ac:dyDescent="0.25">
      <c r="E32" s="5" t="s">
        <v>49</v>
      </c>
      <c r="F32" s="57">
        <v>6.56</v>
      </c>
      <c r="G32" s="57">
        <f t="shared" si="4"/>
        <v>39.36</v>
      </c>
      <c r="H32" s="34">
        <f t="shared" si="5"/>
        <v>159.80159999999998</v>
      </c>
      <c r="I32" s="115">
        <f>CEILING((J16-2)*J7/1000,1)</f>
        <v>6</v>
      </c>
      <c r="J32" s="116"/>
    </row>
    <row r="33" spans="1:10" s="1" customFormat="1" ht="20.100000000000001" customHeight="1" x14ac:dyDescent="0.25">
      <c r="E33" s="5" t="s">
        <v>12</v>
      </c>
      <c r="F33" s="57">
        <v>9.0500000000000007</v>
      </c>
      <c r="G33" s="57">
        <f t="shared" si="4"/>
        <v>36.200000000000003</v>
      </c>
      <c r="H33" s="34">
        <f t="shared" si="5"/>
        <v>146.97200000000001</v>
      </c>
      <c r="I33" s="115">
        <f>CEILING(I15*2/1000,1)</f>
        <v>4</v>
      </c>
      <c r="J33" s="116"/>
    </row>
    <row r="34" spans="1:10" s="1" customFormat="1" ht="20.100000000000001" customHeight="1" x14ac:dyDescent="0.25">
      <c r="E34" s="60" t="s">
        <v>56</v>
      </c>
      <c r="F34" s="33">
        <v>22</v>
      </c>
      <c r="G34" s="33">
        <f t="shared" si="4"/>
        <v>242</v>
      </c>
      <c r="H34" s="34">
        <f t="shared" si="5"/>
        <v>982.51999999999987</v>
      </c>
      <c r="I34" s="115">
        <f>CEILING(J16*J7/1000,1)</f>
        <v>11</v>
      </c>
      <c r="J34" s="116"/>
    </row>
    <row r="35" spans="1:10" s="1" customFormat="1" ht="20.100000000000001" customHeight="1" x14ac:dyDescent="0.25">
      <c r="E35" s="5" t="s">
        <v>11</v>
      </c>
      <c r="F35" s="57">
        <v>0.8</v>
      </c>
      <c r="G35" s="58">
        <f t="shared" si="4"/>
        <v>11.468800000000002</v>
      </c>
      <c r="H35" s="34">
        <f t="shared" si="5"/>
        <v>46.563328000000006</v>
      </c>
      <c r="I35" s="113">
        <f>I17*J17/250</f>
        <v>14.336</v>
      </c>
      <c r="J35" s="114"/>
    </row>
    <row r="36" spans="1:10" ht="20.100000000000001" customHeight="1" x14ac:dyDescent="0.3">
      <c r="A36" s="1"/>
      <c r="B36" s="1"/>
      <c r="C36" s="1"/>
      <c r="D36" s="1"/>
      <c r="E36" s="5" t="s">
        <v>10</v>
      </c>
      <c r="F36" s="57">
        <v>0.39</v>
      </c>
      <c r="G36" s="58">
        <f t="shared" si="4"/>
        <v>38.441519999999997</v>
      </c>
      <c r="H36" s="34">
        <f t="shared" si="5"/>
        <v>156.07257119999997</v>
      </c>
      <c r="I36" s="113">
        <f>16*B9+I16*J16/250+I24*J24/250*2+I20/400*J20</f>
        <v>98.567999999999998</v>
      </c>
      <c r="J36" s="114"/>
    </row>
    <row r="37" spans="1:10" ht="20.100000000000001" customHeight="1" x14ac:dyDescent="0.3">
      <c r="A37" s="1"/>
      <c r="B37" s="1"/>
      <c r="C37" s="1"/>
      <c r="D37" s="1"/>
      <c r="E37" s="5" t="s">
        <v>46</v>
      </c>
      <c r="F37" s="57">
        <v>0.31</v>
      </c>
      <c r="G37" s="57">
        <f t="shared" si="4"/>
        <v>0</v>
      </c>
      <c r="H37" s="34">
        <f t="shared" si="5"/>
        <v>0</v>
      </c>
      <c r="I37" s="113">
        <f>J23*2</f>
        <v>0</v>
      </c>
      <c r="J37" s="114"/>
    </row>
    <row r="38" spans="1:10" ht="20.100000000000001" customHeight="1" thickBot="1" x14ac:dyDescent="0.35">
      <c r="A38" s="1"/>
      <c r="B38" s="1"/>
      <c r="C38" s="1"/>
      <c r="D38" s="1"/>
      <c r="E38" s="6" t="s">
        <v>47</v>
      </c>
      <c r="F38" s="50">
        <v>0.31</v>
      </c>
      <c r="G38" s="50">
        <f t="shared" si="4"/>
        <v>0</v>
      </c>
      <c r="H38" s="34">
        <f t="shared" si="5"/>
        <v>0</v>
      </c>
      <c r="I38" s="117">
        <f>J22*2+I21*J21/250+J21+B15*2*2</f>
        <v>0</v>
      </c>
      <c r="J38" s="118"/>
    </row>
    <row r="39" spans="1:10" ht="20.100000000000001" customHeight="1" x14ac:dyDescent="0.3">
      <c r="A39" s="1"/>
      <c r="B39" s="1"/>
      <c r="C39" s="1"/>
      <c r="D39" s="1"/>
    </row>
    <row r="40" spans="1:10" ht="20.100000000000001" customHeight="1" x14ac:dyDescent="0.3">
      <c r="B40" s="4"/>
      <c r="C40" s="4"/>
      <c r="E40" s="82" t="s">
        <v>17</v>
      </c>
      <c r="F40" s="82"/>
      <c r="G40" s="82"/>
      <c r="H40" s="82"/>
      <c r="I40" s="83"/>
      <c r="J40" s="83"/>
    </row>
    <row r="41" spans="1:10" ht="33" customHeight="1" x14ac:dyDescent="0.3">
      <c r="B41" s="4"/>
      <c r="C41" s="4"/>
      <c r="E41" s="134" t="s">
        <v>40</v>
      </c>
      <c r="F41" s="134"/>
      <c r="G41" s="134"/>
      <c r="H41" s="134"/>
      <c r="I41" s="135"/>
      <c r="J41" s="135"/>
    </row>
    <row r="42" spans="1:10" ht="21" customHeight="1" x14ac:dyDescent="0.3">
      <c r="B42" s="4"/>
      <c r="C42" s="4"/>
    </row>
    <row r="43" spans="1:10" ht="20.100000000000001" customHeight="1" x14ac:dyDescent="0.3">
      <c r="B43" s="4"/>
      <c r="C43" s="4"/>
      <c r="J43" s="99" t="s">
        <v>61</v>
      </c>
    </row>
    <row r="44" spans="1:10" ht="21.75" customHeight="1" x14ac:dyDescent="0.3">
      <c r="B44" s="4"/>
      <c r="C44" s="4"/>
    </row>
    <row r="45" spans="1:10" ht="18" customHeight="1" x14ac:dyDescent="0.3">
      <c r="A45" s="19"/>
      <c r="B45" s="19"/>
      <c r="C45" s="4"/>
    </row>
    <row r="46" spans="1:10" x14ac:dyDescent="0.3">
      <c r="E46" s="36"/>
      <c r="F46" s="37"/>
      <c r="G46" s="37"/>
      <c r="H46" s="37"/>
    </row>
  </sheetData>
  <sheetProtection algorithmName="SHA-512" hashValue="MfbWeHAk8t9uX1GWrhyv2G7inGbejNv1pANR3aUfvRSjtaLxDxlZCzzqDxL9RVW8HRTlYGVmkye5FdL6/5GsLQ==" saltValue="LPtne/4cvS0Eq5jjrnJOqw==" spinCount="100000" sheet="1" objects="1" scenarios="1"/>
  <mergeCells count="29">
    <mergeCell ref="B14:C14"/>
    <mergeCell ref="E41:J41"/>
    <mergeCell ref="B15:C15"/>
    <mergeCell ref="I30:J30"/>
    <mergeCell ref="I29:J29"/>
    <mergeCell ref="I28:J28"/>
    <mergeCell ref="I31:J31"/>
    <mergeCell ref="I32:J32"/>
    <mergeCell ref="I33:J33"/>
    <mergeCell ref="I34:J34"/>
    <mergeCell ref="I35:J35"/>
    <mergeCell ref="I36:J36"/>
    <mergeCell ref="I37:J37"/>
    <mergeCell ref="I38:J38"/>
    <mergeCell ref="I26:J26"/>
    <mergeCell ref="I27:J27"/>
    <mergeCell ref="A2:J2"/>
    <mergeCell ref="A5:C5"/>
    <mergeCell ref="E5:J5"/>
    <mergeCell ref="E7:E8"/>
    <mergeCell ref="B7:C7"/>
    <mergeCell ref="A3:J3"/>
    <mergeCell ref="B8:C8"/>
    <mergeCell ref="E10:E11"/>
    <mergeCell ref="B9:C9"/>
    <mergeCell ref="B12:C12"/>
    <mergeCell ref="B13:C13"/>
    <mergeCell ref="B10:C10"/>
    <mergeCell ref="B11:C11"/>
  </mergeCells>
  <dataValidations disablePrompts="1" count="5">
    <dataValidation type="whole" allowBlank="1" showInputMessage="1" showErrorMessage="1" sqref="B11">
      <formula1>-1</formula1>
      <formula2>B9*2</formula2>
    </dataValidation>
    <dataValidation type="whole" operator="greaterThan" allowBlank="1" showInputMessage="1" showErrorMessage="1" sqref="C14 B12:B15">
      <formula1>-1</formula1>
    </dataValidation>
    <dataValidation type="whole" allowBlank="1" showInputMessage="1" showErrorMessage="1" sqref="B9:C9">
      <formula1>1</formula1>
      <formula2>5</formula2>
    </dataValidation>
    <dataValidation type="whole" allowBlank="1" showInputMessage="1" showErrorMessage="1" sqref="C16">
      <formula1>0</formula1>
      <formula2>2</formula2>
    </dataValidation>
    <dataValidation type="whole" allowBlank="1" showInputMessage="1" showErrorMessage="1" sqref="B10">
      <formula1>1</formula1>
      <formula2>4</formula2>
    </dataValidation>
  </dataValidations>
  <hyperlinks>
    <hyperlink ref="J43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2018-10-24T11:26:30Z</dcterms:modified>
</cp:coreProperties>
</file>