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JD9DKu0VN3uAU4OUbwo8vTvh9FEdO+d2I+miXoI1Q4yQwIDhbBFBJ59u8Sy9/+E0G+OY4l8mVNoX0UvTBIy2YA==" workbookSaltValue="8ni0DZM0aGpZmMBTHyCCMw==" workbookSpinCount="100000" lockStructure="1"/>
  <bookViews>
    <workbookView xWindow="0" yWindow="0" windowWidth="20490" windowHeight="8205" tabRatio="874"/>
  </bookViews>
  <sheets>
    <sheet name="Оглавление" sheetId="6" r:id="rId1"/>
    <sheet name="Видимый верхний трек" sheetId="1" r:id="rId2"/>
    <sheet name="Скрытый верхний трек, корпус" sheetId="4" r:id="rId3"/>
    <sheet name="Скрытый верхний трек, проем" sheetId="5" r:id="rId4"/>
  </sheets>
  <definedNames>
    <definedName name="_xlnm.Print_Area" localSheetId="1">'Видимый верхний трек'!$C$3:$J$51</definedName>
    <definedName name="_xlnm.Print_Area" localSheetId="2">'Скрытый верхний трек, корпус'!$C$2:$J$53</definedName>
    <definedName name="_xlnm.Print_Area" localSheetId="3">'Скрытый верхний трек, проем'!$C$2:$J$56</definedName>
  </definedNames>
  <calcPr calcId="162913" concurrentCalc="0"/>
</workbook>
</file>

<file path=xl/calcChain.xml><?xml version="1.0" encoding="utf-8"?>
<calcChain xmlns="http://schemas.openxmlformats.org/spreadsheetml/2006/main">
  <c r="I51" i="5" l="1"/>
  <c r="I49" i="1"/>
  <c r="L16" i="5"/>
  <c r="L15" i="5"/>
  <c r="I39" i="5"/>
  <c r="I38" i="5"/>
  <c r="J11" i="1"/>
  <c r="D31" i="1"/>
  <c r="L16" i="4"/>
  <c r="L15" i="4"/>
  <c r="I50" i="4"/>
  <c r="I39" i="4"/>
  <c r="I38" i="4"/>
  <c r="I50" i="1"/>
  <c r="D10" i="4"/>
  <c r="I46" i="4"/>
  <c r="I45" i="1"/>
  <c r="I46" i="1"/>
  <c r="L16" i="1"/>
  <c r="L15" i="1"/>
  <c r="I44" i="4"/>
  <c r="C28" i="4"/>
  <c r="B20" i="5"/>
  <c r="D11" i="5"/>
  <c r="D10" i="5"/>
  <c r="D11" i="4"/>
  <c r="J8" i="4"/>
  <c r="D11" i="1"/>
  <c r="D10" i="1"/>
  <c r="I44" i="5"/>
  <c r="I52" i="5"/>
  <c r="J8" i="5"/>
  <c r="J27" i="5"/>
  <c r="J26" i="4"/>
  <c r="J8" i="1"/>
  <c r="J12" i="1"/>
  <c r="I25" i="5"/>
  <c r="I24" i="5"/>
  <c r="I23" i="5"/>
  <c r="I22" i="5"/>
  <c r="I34" i="5"/>
  <c r="J34" i="5"/>
  <c r="L34" i="5"/>
  <c r="I33" i="5"/>
  <c r="J33" i="5"/>
  <c r="L33" i="5"/>
  <c r="I32" i="5"/>
  <c r="J32" i="5"/>
  <c r="L32" i="5"/>
  <c r="I31" i="5"/>
  <c r="F37" i="5"/>
  <c r="F36" i="5"/>
  <c r="F35" i="5"/>
  <c r="F34" i="5"/>
  <c r="C29" i="5"/>
  <c r="E31" i="1"/>
  <c r="E33" i="1"/>
  <c r="E35" i="1"/>
  <c r="E32" i="1"/>
  <c r="E34" i="1"/>
  <c r="I27" i="4"/>
  <c r="J27" i="4"/>
  <c r="I26" i="4"/>
  <c r="L26" i="4"/>
  <c r="J26" i="5"/>
  <c r="I26" i="5"/>
  <c r="I27" i="5"/>
  <c r="L27" i="5"/>
  <c r="I26" i="1"/>
  <c r="I27" i="1"/>
  <c r="J27" i="1"/>
  <c r="J26" i="1"/>
  <c r="J31" i="5"/>
  <c r="D29" i="5"/>
  <c r="I25" i="1"/>
  <c r="I24" i="1"/>
  <c r="I23" i="1"/>
  <c r="I22" i="1"/>
  <c r="I22" i="4"/>
  <c r="I25" i="4"/>
  <c r="I24" i="4"/>
  <c r="I23" i="4"/>
  <c r="I34" i="4"/>
  <c r="J34" i="4"/>
  <c r="L34" i="4"/>
  <c r="I33" i="4"/>
  <c r="J33" i="4"/>
  <c r="L33" i="4"/>
  <c r="I32" i="4"/>
  <c r="J32" i="4"/>
  <c r="L32" i="4"/>
  <c r="I31" i="4"/>
  <c r="J31" i="4"/>
  <c r="L31" i="4"/>
  <c r="D28" i="4"/>
  <c r="F36" i="4"/>
  <c r="F35" i="4"/>
  <c r="F34" i="4"/>
  <c r="F33" i="4"/>
  <c r="L27" i="4"/>
  <c r="L26" i="5"/>
  <c r="L31" i="5"/>
  <c r="L27" i="1"/>
  <c r="L26" i="1"/>
  <c r="F32" i="1"/>
  <c r="F33" i="1"/>
  <c r="F34" i="1"/>
  <c r="F35" i="1"/>
  <c r="C27" i="1"/>
  <c r="D27" i="1"/>
  <c r="I31" i="1"/>
  <c r="J31" i="1"/>
  <c r="L31" i="1"/>
  <c r="I32" i="1"/>
  <c r="J32" i="1"/>
  <c r="L32" i="1"/>
  <c r="I33" i="1"/>
  <c r="J33" i="1"/>
  <c r="L33" i="1"/>
  <c r="J22" i="1"/>
  <c r="L22" i="1"/>
  <c r="I47" i="1"/>
  <c r="I28" i="1"/>
  <c r="I41" i="1"/>
  <c r="I40" i="4"/>
  <c r="J28" i="1"/>
  <c r="L28" i="1"/>
  <c r="L41" i="1"/>
  <c r="L38" i="1"/>
  <c r="L39" i="1"/>
  <c r="L40" i="1"/>
  <c r="J24" i="1"/>
  <c r="L24" i="1"/>
  <c r="J23" i="1"/>
  <c r="L23" i="1"/>
  <c r="J20" i="1"/>
  <c r="I20" i="1"/>
  <c r="L20" i="1"/>
  <c r="J19" i="1"/>
  <c r="J24" i="4"/>
  <c r="J23" i="4"/>
  <c r="L23" i="4"/>
  <c r="J22" i="4"/>
  <c r="L22" i="4"/>
  <c r="J20" i="4"/>
  <c r="I20" i="4"/>
  <c r="L20" i="4"/>
  <c r="J19" i="4"/>
  <c r="J20" i="5"/>
  <c r="J19" i="5"/>
  <c r="I19" i="5"/>
  <c r="L19" i="5"/>
  <c r="I53" i="4"/>
  <c r="L24" i="4"/>
  <c r="I19" i="1"/>
  <c r="L19" i="1"/>
  <c r="J25" i="1"/>
  <c r="L25" i="1"/>
  <c r="J25" i="4"/>
  <c r="L25" i="4"/>
  <c r="I19" i="4"/>
  <c r="L19" i="4"/>
  <c r="I53" i="1"/>
  <c r="I40" i="5"/>
  <c r="J22" i="5"/>
  <c r="L22" i="5"/>
  <c r="J25" i="5"/>
  <c r="L25" i="5"/>
  <c r="J23" i="5"/>
  <c r="L23" i="5"/>
  <c r="J24" i="5"/>
  <c r="I55" i="5"/>
  <c r="L24" i="5"/>
  <c r="J7" i="4"/>
  <c r="J11" i="4"/>
  <c r="I21" i="4"/>
  <c r="D32" i="4"/>
  <c r="J28" i="4"/>
  <c r="I15" i="4"/>
  <c r="I15" i="5"/>
  <c r="I16" i="5"/>
  <c r="J7" i="5"/>
  <c r="J11" i="5"/>
  <c r="I15" i="1"/>
  <c r="I16" i="1"/>
  <c r="J7" i="1"/>
  <c r="J18" i="5"/>
  <c r="J17" i="5"/>
  <c r="J18" i="4"/>
  <c r="J17" i="4"/>
  <c r="I45" i="4"/>
  <c r="I16" i="4"/>
  <c r="I47" i="5"/>
  <c r="I45" i="5"/>
  <c r="J12" i="5"/>
  <c r="I28" i="5"/>
  <c r="I49" i="5"/>
  <c r="I21" i="5"/>
  <c r="D33" i="5"/>
  <c r="I30" i="5"/>
  <c r="J30" i="5"/>
  <c r="L30" i="5"/>
  <c r="I30" i="4"/>
  <c r="C40" i="4"/>
  <c r="F32" i="4"/>
  <c r="J12" i="4"/>
  <c r="I28" i="4"/>
  <c r="L28" i="4"/>
  <c r="I47" i="4"/>
  <c r="I21" i="1"/>
  <c r="L37" i="1"/>
  <c r="L42" i="1"/>
  <c r="I40" i="1"/>
  <c r="J21" i="5"/>
  <c r="J21" i="4"/>
  <c r="L21" i="4"/>
  <c r="I37" i="5"/>
  <c r="I37" i="4"/>
  <c r="I48" i="5"/>
  <c r="I17" i="5"/>
  <c r="I46" i="5"/>
  <c r="I17" i="4"/>
  <c r="L17" i="4"/>
  <c r="I18" i="5"/>
  <c r="I18" i="4"/>
  <c r="L18" i="4"/>
  <c r="L18" i="5"/>
  <c r="I20" i="5"/>
  <c r="L20" i="5"/>
  <c r="L21" i="5"/>
  <c r="L17" i="5"/>
  <c r="I29" i="4"/>
  <c r="C38" i="4"/>
  <c r="D38" i="4"/>
  <c r="C41" i="4"/>
  <c r="J30" i="4"/>
  <c r="I49" i="4"/>
  <c r="E37" i="5"/>
  <c r="L41" i="5"/>
  <c r="E35" i="5"/>
  <c r="L39" i="5"/>
  <c r="E34" i="5"/>
  <c r="L38" i="5"/>
  <c r="E36" i="5"/>
  <c r="L40" i="5"/>
  <c r="E33" i="5"/>
  <c r="E33" i="4"/>
  <c r="L38" i="4"/>
  <c r="E32" i="4"/>
  <c r="L37" i="4"/>
  <c r="E36" i="4"/>
  <c r="L41" i="4"/>
  <c r="E35" i="4"/>
  <c r="E34" i="4"/>
  <c r="L39" i="4"/>
  <c r="C41" i="5"/>
  <c r="I29" i="5"/>
  <c r="F33" i="5"/>
  <c r="C43" i="5"/>
  <c r="J28" i="5"/>
  <c r="L28" i="5"/>
  <c r="C39" i="1"/>
  <c r="I29" i="1"/>
  <c r="F31" i="1"/>
  <c r="C41" i="1"/>
  <c r="I53" i="5"/>
  <c r="I51" i="4"/>
  <c r="J29" i="5"/>
  <c r="L29" i="5"/>
  <c r="L35" i="5"/>
  <c r="L45" i="5"/>
  <c r="I56" i="5"/>
  <c r="L37" i="5"/>
  <c r="L42" i="5"/>
  <c r="L30" i="4"/>
  <c r="I54" i="4"/>
  <c r="L40" i="4"/>
  <c r="L42" i="4"/>
  <c r="J29" i="4"/>
  <c r="I48" i="4"/>
  <c r="J29" i="1"/>
  <c r="L29" i="1"/>
  <c r="I54" i="5"/>
  <c r="I52" i="4"/>
  <c r="C39" i="5"/>
  <c r="D39" i="5"/>
  <c r="C37" i="1"/>
  <c r="D37" i="1"/>
  <c r="I42" i="1"/>
  <c r="I41" i="5"/>
  <c r="I50" i="5"/>
  <c r="E58" i="5"/>
  <c r="L29" i="4"/>
  <c r="L35" i="4"/>
  <c r="L45" i="4"/>
  <c r="J18" i="1"/>
  <c r="J17" i="1"/>
  <c r="I43" i="5"/>
  <c r="I42" i="5"/>
  <c r="E57" i="4"/>
  <c r="I42" i="4"/>
  <c r="I43" i="4"/>
  <c r="I41" i="4"/>
  <c r="I43" i="1"/>
  <c r="I44" i="1"/>
  <c r="L17" i="1"/>
  <c r="J21" i="1"/>
  <c r="L21" i="1"/>
  <c r="I37" i="1"/>
  <c r="I17" i="1"/>
  <c r="I18" i="1"/>
  <c r="L18" i="1"/>
  <c r="I52" i="1"/>
  <c r="I54" i="1"/>
  <c r="I51" i="1"/>
  <c r="I34" i="1"/>
  <c r="J34" i="1"/>
  <c r="L34" i="1"/>
  <c r="I30" i="1"/>
  <c r="I48" i="1"/>
  <c r="J30" i="1"/>
  <c r="L30" i="1"/>
  <c r="L35" i="1"/>
  <c r="L45" i="1"/>
  <c r="I39" i="1"/>
  <c r="E56" i="1"/>
  <c r="I38" i="1"/>
</calcChain>
</file>

<file path=xl/sharedStrings.xml><?xml version="1.0" encoding="utf-8"?>
<sst xmlns="http://schemas.openxmlformats.org/spreadsheetml/2006/main" count="459" uniqueCount="138">
  <si>
    <t>Высота проёма</t>
  </si>
  <si>
    <t>Количество дверей</t>
  </si>
  <si>
    <t>Профили:</t>
  </si>
  <si>
    <t>размер</t>
  </si>
  <si>
    <t>количество</t>
  </si>
  <si>
    <t>высота</t>
  </si>
  <si>
    <t>ширина</t>
  </si>
  <si>
    <t>Размеры двери:</t>
  </si>
  <si>
    <t>Фурнитура:</t>
  </si>
  <si>
    <t>Уплотнитель нижней направляющей</t>
  </si>
  <si>
    <t>РЕЗУЛЬТАТ РАСЧЁТА</t>
  </si>
  <si>
    <t>ВВОД ИСХОДНЫХ ДАННЫХ ДЛЯ РАСЧЁТА</t>
  </si>
  <si>
    <r>
      <t>высота</t>
    </r>
    <r>
      <rPr>
        <sz val="8"/>
        <color theme="1"/>
        <rFont val="Calibri"/>
        <family val="2"/>
        <charset val="204"/>
        <scheme val="minor"/>
      </rPr>
      <t xml:space="preserve"> </t>
    </r>
    <r>
      <rPr>
        <u/>
        <sz val="8"/>
        <color theme="1"/>
        <rFont val="Calibri"/>
        <family val="2"/>
        <charset val="204"/>
        <scheme val="minor"/>
      </rPr>
      <t>общая</t>
    </r>
  </si>
  <si>
    <t xml:space="preserve">* по внутреннему проёму шкафа, зависит от наличия боковин и их толщины </t>
  </si>
  <si>
    <r>
      <rPr>
        <b/>
        <sz val="20"/>
        <color theme="1"/>
        <rFont val="Calibri"/>
        <family val="2"/>
        <charset val="204"/>
        <scheme val="minor"/>
      </rPr>
      <t xml:space="preserve">РАСЧЁТ ДВЕРЕЙ </t>
    </r>
    <r>
      <rPr>
        <b/>
        <sz val="20"/>
        <color theme="1"/>
        <rFont val="Candara"/>
        <family val="2"/>
        <charset val="204"/>
      </rPr>
      <t>ARISTO NOVA</t>
    </r>
  </si>
  <si>
    <t>Для расчёта размеров и количества комплектующих введите данные в таблицу</t>
  </si>
  <si>
    <t xml:space="preserve"> </t>
  </si>
  <si>
    <t>Ширина проёма, перекрываемого дверями</t>
  </si>
  <si>
    <t xml:space="preserve">РАСЧЁТ ДВЕРЕЙ ARISTO NOVA </t>
  </si>
  <si>
    <r>
      <t xml:space="preserve">Высота </t>
    </r>
    <r>
      <rPr>
        <u/>
        <sz val="14"/>
        <color theme="1"/>
        <rFont val="Calibri"/>
        <family val="2"/>
        <charset val="204"/>
        <scheme val="minor"/>
      </rPr>
      <t>внутреннего</t>
    </r>
    <r>
      <rPr>
        <sz val="14"/>
        <color theme="1"/>
        <rFont val="Calibri"/>
        <family val="2"/>
        <scheme val="minor"/>
      </rPr>
      <t xml:space="preserve"> проёма шкафа</t>
    </r>
  </si>
  <si>
    <t>Толщина деталей корпуса шкафа 16мм</t>
  </si>
  <si>
    <t>**по 2 шт. на дверь, внутренние ANV16-01/внешние ANV16-03 - по расположению дверей. При монтаже доводчика требуется дополнительный кронштейн (доводчик устанавливается на 2 кронштейна).</t>
  </si>
  <si>
    <t>Шлегель в паз вертикального профиля</t>
  </si>
  <si>
    <t>Ручка врезная L=200 мм, в сборе (количество ручек для одной двери)</t>
  </si>
  <si>
    <t>Количество узких средних рамок для одной двери</t>
  </si>
  <si>
    <r>
      <t xml:space="preserve">Количество широких </t>
    </r>
    <r>
      <rPr>
        <b/>
        <sz val="14"/>
        <color theme="1"/>
        <rFont val="Calibri"/>
        <family val="2"/>
        <charset val="204"/>
        <scheme val="minor"/>
      </rPr>
      <t>закрытых</t>
    </r>
    <r>
      <rPr>
        <sz val="14"/>
        <color theme="1"/>
        <rFont val="Calibri"/>
        <family val="2"/>
        <scheme val="minor"/>
      </rPr>
      <t xml:space="preserve"> средних рамок для одной двери</t>
    </r>
  </si>
  <si>
    <r>
      <t xml:space="preserve">Количество широких </t>
    </r>
    <r>
      <rPr>
        <b/>
        <sz val="14"/>
        <color theme="1"/>
        <rFont val="Calibri"/>
        <family val="2"/>
        <charset val="204"/>
        <scheme val="minor"/>
      </rPr>
      <t>открытых</t>
    </r>
    <r>
      <rPr>
        <sz val="14"/>
        <color theme="1"/>
        <rFont val="Calibri"/>
        <family val="2"/>
        <scheme val="minor"/>
      </rPr>
      <t xml:space="preserve"> средних рамок для одной двери</t>
    </r>
  </si>
  <si>
    <t>Ручка врезная (длина, количество ручек для одной двери)</t>
  </si>
  <si>
    <t>оглавление</t>
  </si>
  <si>
    <t>Соединительная пластина</t>
  </si>
  <si>
    <t>артикул</t>
  </si>
  <si>
    <t xml:space="preserve">Направляющая верхняя </t>
  </si>
  <si>
    <t>CKRU0046</t>
  </si>
  <si>
    <t xml:space="preserve">Направляющая нижняя </t>
  </si>
  <si>
    <t>CKRU0009</t>
  </si>
  <si>
    <t xml:space="preserve">NOVA Вертикальный профиль </t>
  </si>
  <si>
    <t>CKRU0487</t>
  </si>
  <si>
    <t xml:space="preserve">NOVA Рамка горизонтальная узкая </t>
  </si>
  <si>
    <t>CKRU0442</t>
  </si>
  <si>
    <t xml:space="preserve">NOVA Рамка средняя закрытая (делитель двери) </t>
  </si>
  <si>
    <t>CKRU0486</t>
  </si>
  <si>
    <t xml:space="preserve">NOVA Рамка средняя закрытая (стыковка с врезной ручкой) </t>
  </si>
  <si>
    <t xml:space="preserve">NOVA Усилитель вертикальный </t>
  </si>
  <si>
    <t>CKRU0638</t>
  </si>
  <si>
    <t xml:space="preserve">NOVA Рамка средняя открытая (делитель двери) </t>
  </si>
  <si>
    <t>CKRU0485</t>
  </si>
  <si>
    <t xml:space="preserve">NOVA Рамка средняя открытая (врезная ручка) </t>
  </si>
  <si>
    <t xml:space="preserve">NOVA Торцевой профиль ручки </t>
  </si>
  <si>
    <t>CKRU0448</t>
  </si>
  <si>
    <t>CKRU0480</t>
  </si>
  <si>
    <t>ANV16-05</t>
  </si>
  <si>
    <t xml:space="preserve">NOVA Комплект роликов </t>
  </si>
  <si>
    <t>ANV16</t>
  </si>
  <si>
    <t xml:space="preserve">Врезная ручка, 200 мм </t>
  </si>
  <si>
    <t>ANV16-04</t>
  </si>
  <si>
    <t>ARS01</t>
  </si>
  <si>
    <t>КНП 01</t>
  </si>
  <si>
    <t>NOVA Усилитель вертикальный</t>
  </si>
  <si>
    <t>NOVA Рамка средняя открытая (врезная ручка)</t>
  </si>
  <si>
    <t>Выберите элемент соединения вставок двери:</t>
  </si>
  <si>
    <t>Направляющая верхняя</t>
  </si>
  <si>
    <t>Направляющая нижняя</t>
  </si>
  <si>
    <t>NOVA Вертикальный профиль</t>
  </si>
  <si>
    <t>NOVA Рамка горизонтальная узкая</t>
  </si>
  <si>
    <t>NOVA Рамка средняя закрытая (стыковка с врезной ручкой)</t>
  </si>
  <si>
    <t>NOVA Рамка средняя открытая (делитель двери)</t>
  </si>
  <si>
    <t>Саморез 2,9*19 мм с потайной головкой</t>
  </si>
  <si>
    <t>Саморез 3,9*16 мм с полукруглой головкой</t>
  </si>
  <si>
    <t>Саморез 2,9*13 мм с потайной головкой</t>
  </si>
  <si>
    <t>Саморез 3,9*9,5 мм с полукруглой головкой</t>
  </si>
  <si>
    <t>Наполнение</t>
  </si>
  <si>
    <t>Вставка 2</t>
  </si>
  <si>
    <t>Вставка 3</t>
  </si>
  <si>
    <t>Вставка 4</t>
  </si>
  <si>
    <t>Материал</t>
  </si>
  <si>
    <t>Высота</t>
  </si>
  <si>
    <t>Ширина</t>
  </si>
  <si>
    <t>ЛДСП 16</t>
  </si>
  <si>
    <t>CKRU0505</t>
  </si>
  <si>
    <t>CKRU0651</t>
  </si>
  <si>
    <t>Уголок для рамы под зеркало/стекло</t>
  </si>
  <si>
    <t>Зеркало/Стекло 4 мм</t>
  </si>
  <si>
    <t>ANV16-06</t>
  </si>
  <si>
    <t>NOVA Широкий профиль для зеркала/стекла горизонтальный</t>
  </si>
  <si>
    <t>NOVA Узкий профиль для зеркала/стекла горизонтальный</t>
  </si>
  <si>
    <t>NOVA Узкий профиль для зеркала/стекла вертикальный вставка 1</t>
  </si>
  <si>
    <t>NOVA Узкий профиль для зеркала/стекла вертикальный вставка 2</t>
  </si>
  <si>
    <t>NOVA Узкий профиль для зеркала/стекла вертикальный вставка 3</t>
  </si>
  <si>
    <t>NOVA Узкий профиль для зеркала/стекла вертикальный вставка 4</t>
  </si>
  <si>
    <t>NOVA Узкий профиль для зеркала/стекла вертикальный вставка 5</t>
  </si>
  <si>
    <t>Количество вставок:</t>
  </si>
  <si>
    <t>Вставка 1 (считается автоматически)</t>
  </si>
  <si>
    <t>Вставка 5 (низ двери)</t>
  </si>
  <si>
    <t>Неверно внесены высоты вставок</t>
  </si>
  <si>
    <t>Верно внесены высоты вставок</t>
  </si>
  <si>
    <t>Не рекомендуем</t>
  </si>
  <si>
    <t>Высота зеркальной вставки меньше 130 мм</t>
  </si>
  <si>
    <t>NOVA Соединительный профиль</t>
  </si>
  <si>
    <t>I-----____I</t>
  </si>
  <si>
    <t>I-----____-----I</t>
  </si>
  <si>
    <t>I-----____-----____I</t>
  </si>
  <si>
    <t>I-----____  ____-----I</t>
  </si>
  <si>
    <t>I-----____-----____-----I</t>
  </si>
  <si>
    <t>Рсположение дверей</t>
  </si>
  <si>
    <t>Полотно двери:</t>
  </si>
  <si>
    <t>ANV16-07</t>
  </si>
  <si>
    <t>да</t>
  </si>
  <si>
    <t>нет</t>
  </si>
  <si>
    <t>Уплотнитель полиуретановый на боковую поверхность двери</t>
  </si>
  <si>
    <t>Уплотнитель для рамы под стекло</t>
  </si>
  <si>
    <t>Укажите высоту Вставки 5 (низ двери)</t>
  </si>
  <si>
    <t>Обязательно обработать кромки зеркала или стекла перед сборкой двери</t>
  </si>
  <si>
    <t>Количество доводчиков общее, штук</t>
  </si>
  <si>
    <t>MT/ST 9*5-6P6L</t>
  </si>
  <si>
    <t>Шлегель</t>
  </si>
  <si>
    <t>Уплотнитель полиуретановый</t>
  </si>
  <si>
    <t>Доводчик универсальный*</t>
  </si>
  <si>
    <t>ARD02U 1030</t>
  </si>
  <si>
    <t>ARD02U 3050</t>
  </si>
  <si>
    <t>ARD02U 5070</t>
  </si>
  <si>
    <t>Шлегель на боковую поверхность двери</t>
  </si>
  <si>
    <t>W-QL</t>
  </si>
  <si>
    <t>Вес одной двери:</t>
  </si>
  <si>
    <t>* в расчетах веса двери не учитывается уклон пола помещения</t>
  </si>
  <si>
    <t>Элемент для боковой поверхности двери</t>
  </si>
  <si>
    <t>NOVA Кронштейн внутренний</t>
  </si>
  <si>
    <t>NOVA Кронштейн внешний</t>
  </si>
  <si>
    <t>ANV16-01</t>
  </si>
  <si>
    <t>ANV16-03</t>
  </si>
  <si>
    <t>Замок универсальный</t>
  </si>
  <si>
    <t>ARL-U</t>
  </si>
  <si>
    <t>Доводчик универсальный**</t>
  </si>
  <si>
    <t>Количество доводчиков общее на внутренних дверях, штук (на внутренних кронштейнах)</t>
  </si>
  <si>
    <t>Количество доводчиков общее на внешних дверях, штук (на внешних кронштейнах)</t>
  </si>
  <si>
    <t>Количество перекрытий (перекрытие 12 мм)</t>
  </si>
  <si>
    <t>Замок универсальный**</t>
  </si>
  <si>
    <t>** замок использовать совместно с доводчиками</t>
  </si>
  <si>
    <t>Стопор верхний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</si>
</sst>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&quot; мм&quot;"/>
    <numFmt numFmtId="165" formatCode="#,##0&quot; м&quot;"/>
    <numFmt numFmtId="166" formatCode="#,##0&quot; мм*&quot;"/>
    <numFmt numFmtId="167" formatCode="0.0"/>
    <numFmt numFmtId="168" formatCode="#,##0.0"/>
    <numFmt numFmtId="169" formatCode="#,##0&quot; комп.&quot;"/>
    <numFmt numFmtId="170" formatCode="#,##0&quot; кг.&quot;"/>
    <numFmt numFmtId="171" formatCode="#,##0&quot; шт.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20"/>
      <color theme="1"/>
      <name val="Candara"/>
      <family val="2"/>
      <charset val="204"/>
    </font>
    <font>
      <sz val="8"/>
      <color theme="1"/>
      <name val="Calibri"/>
      <family val="2"/>
      <charset val="204"/>
      <scheme val="minor"/>
    </font>
    <font>
      <u/>
      <sz val="8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4"/>
      <color rgb="FFFF0000"/>
      <name val="Calibri"/>
      <family val="2"/>
      <scheme val="minor"/>
    </font>
    <font>
      <sz val="14"/>
      <color theme="0" tint="-0.1499984740745262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220">
    <xf numFmtId="0" fontId="0" fillId="0" borderId="0" xfId="0"/>
    <xf numFmtId="164" fontId="3" fillId="0" borderId="5" xfId="0" applyNumberFormat="1" applyFont="1" applyBorder="1" applyAlignment="1" applyProtection="1">
      <alignment horizontal="center" vertical="center"/>
    </xf>
    <xf numFmtId="164" fontId="3" fillId="0" borderId="7" xfId="0" applyNumberFormat="1" applyFont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164" fontId="3" fillId="0" borderId="3" xfId="0" applyNumberFormat="1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164" fontId="3" fillId="0" borderId="20" xfId="0" applyNumberFormat="1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166" fontId="3" fillId="0" borderId="3" xfId="0" applyNumberFormat="1" applyFont="1" applyFill="1" applyBorder="1" applyAlignment="1" applyProtection="1">
      <alignment horizontal="center" vertical="center"/>
    </xf>
    <xf numFmtId="0" fontId="0" fillId="4" borderId="17" xfId="0" applyFill="1" applyBorder="1"/>
    <xf numFmtId="0" fontId="0" fillId="4" borderId="21" xfId="0" applyFill="1" applyBorder="1"/>
    <xf numFmtId="0" fontId="0" fillId="4" borderId="34" xfId="0" applyFill="1" applyBorder="1"/>
    <xf numFmtId="0" fontId="0" fillId="4" borderId="0" xfId="0" applyFill="1"/>
    <xf numFmtId="0" fontId="0" fillId="4" borderId="35" xfId="0" applyFill="1" applyBorder="1"/>
    <xf numFmtId="0" fontId="0" fillId="4" borderId="0" xfId="0" applyFill="1" applyBorder="1"/>
    <xf numFmtId="0" fontId="0" fillId="4" borderId="16" xfId="0" applyFill="1" applyBorder="1"/>
    <xf numFmtId="0" fontId="0" fillId="4" borderId="18" xfId="0" applyFill="1" applyBorder="1"/>
    <xf numFmtId="0" fontId="0" fillId="4" borderId="24" xfId="0" applyFill="1" applyBorder="1"/>
    <xf numFmtId="0" fontId="0" fillId="4" borderId="36" xfId="0" applyFill="1" applyBorder="1"/>
    <xf numFmtId="1" fontId="3" fillId="0" borderId="19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vertical="center"/>
      <protection locked="0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vertical="center"/>
      <protection locked="0"/>
    </xf>
    <xf numFmtId="164" fontId="2" fillId="3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39" xfId="0" applyNumberFormat="1" applyFont="1" applyFill="1" applyBorder="1" applyAlignment="1" applyProtection="1">
      <alignment horizontal="center" vertical="center"/>
    </xf>
    <xf numFmtId="0" fontId="3" fillId="0" borderId="40" xfId="0" applyFont="1" applyFill="1" applyBorder="1" applyAlignment="1" applyProtection="1">
      <alignment horizontal="center" vertical="center"/>
    </xf>
    <xf numFmtId="164" fontId="3" fillId="0" borderId="0" xfId="0" applyNumberFormat="1" applyFont="1" applyBorder="1" applyAlignment="1" applyProtection="1">
      <alignment horizontal="center" vertical="center"/>
    </xf>
    <xf numFmtId="164" fontId="3" fillId="3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vertical="center"/>
    </xf>
    <xf numFmtId="0" fontId="20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170" fontId="2" fillId="0" borderId="37" xfId="0" applyNumberFormat="1" applyFont="1" applyBorder="1" applyAlignment="1" applyProtection="1">
      <alignment vertical="center"/>
    </xf>
    <xf numFmtId="0" fontId="2" fillId="0" borderId="0" xfId="0" applyFont="1" applyProtection="1"/>
    <xf numFmtId="0" fontId="2" fillId="0" borderId="11" xfId="0" applyFont="1" applyBorder="1" applyAlignment="1" applyProtection="1">
      <alignment vertical="center"/>
    </xf>
    <xf numFmtId="3" fontId="3" fillId="0" borderId="0" xfId="0" applyNumberFormat="1" applyFont="1" applyBorder="1" applyAlignment="1" applyProtection="1">
      <alignment vertical="center" wrapText="1"/>
    </xf>
    <xf numFmtId="3" fontId="0" fillId="0" borderId="0" xfId="0" applyNumberFormat="1" applyBorder="1" applyAlignment="1" applyProtection="1">
      <alignment vertical="center" wrapText="1"/>
    </xf>
    <xf numFmtId="3" fontId="3" fillId="0" borderId="0" xfId="0" applyNumberFormat="1" applyFont="1" applyBorder="1" applyAlignment="1" applyProtection="1">
      <alignment horizontal="center" vertical="center" wrapText="1"/>
    </xf>
    <xf numFmtId="14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</xf>
    <xf numFmtId="0" fontId="0" fillId="0" borderId="0" xfId="0" applyFill="1" applyBorder="1" applyAlignment="1" applyProtection="1">
      <alignment vertical="center" wrapText="1"/>
    </xf>
    <xf numFmtId="0" fontId="2" fillId="0" borderId="0" xfId="0" applyFont="1" applyFill="1" applyProtection="1"/>
    <xf numFmtId="0" fontId="3" fillId="0" borderId="0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right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3" fontId="3" fillId="0" borderId="0" xfId="0" applyNumberFormat="1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left" vertical="center"/>
    </xf>
    <xf numFmtId="0" fontId="16" fillId="2" borderId="25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left" vertical="center"/>
    </xf>
    <xf numFmtId="167" fontId="16" fillId="0" borderId="26" xfId="0" applyNumberFormat="1" applyFont="1" applyFill="1" applyBorder="1" applyAlignment="1" applyProtection="1">
      <alignment horizontal="center" vertical="center"/>
    </xf>
    <xf numFmtId="0" fontId="5" fillId="0" borderId="0" xfId="0" applyFont="1" applyProtection="1"/>
    <xf numFmtId="0" fontId="16" fillId="0" borderId="1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vertical="center"/>
    </xf>
    <xf numFmtId="167" fontId="16" fillId="0" borderId="1" xfId="0" applyNumberFormat="1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2" fillId="0" borderId="9" xfId="0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right"/>
    </xf>
    <xf numFmtId="0" fontId="2" fillId="2" borderId="37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164" fontId="2" fillId="0" borderId="10" xfId="0" applyNumberFormat="1" applyFont="1" applyBorder="1" applyAlignment="1" applyProtection="1">
      <alignment horizontal="center" vertical="center"/>
    </xf>
    <xf numFmtId="0" fontId="18" fillId="0" borderId="0" xfId="0" applyFont="1" applyFill="1" applyAlignment="1" applyProtection="1">
      <alignment vertical="center"/>
    </xf>
    <xf numFmtId="0" fontId="2" fillId="0" borderId="18" xfId="0" applyFont="1" applyBorder="1" applyAlignment="1" applyProtection="1">
      <alignment vertical="center"/>
    </xf>
    <xf numFmtId="0" fontId="12" fillId="0" borderId="24" xfId="0" applyFont="1" applyBorder="1" applyAlignment="1" applyProtection="1">
      <alignment horizontal="right" vertical="center"/>
    </xf>
    <xf numFmtId="164" fontId="3" fillId="0" borderId="24" xfId="0" applyNumberFormat="1" applyFont="1" applyBorder="1" applyAlignment="1" applyProtection="1">
      <alignment horizontal="center" vertical="center"/>
    </xf>
    <xf numFmtId="0" fontId="3" fillId="0" borderId="36" xfId="0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vertical="center"/>
    </xf>
    <xf numFmtId="0" fontId="4" fillId="2" borderId="8" xfId="0" applyFont="1" applyFill="1" applyBorder="1" applyAlignment="1" applyProtection="1">
      <alignment vertical="center"/>
    </xf>
    <xf numFmtId="0" fontId="3" fillId="0" borderId="11" xfId="0" applyFont="1" applyBorder="1" applyAlignment="1" applyProtection="1">
      <alignment vertical="center"/>
    </xf>
    <xf numFmtId="164" fontId="2" fillId="0" borderId="7" xfId="0" applyNumberFormat="1" applyFont="1" applyBorder="1" applyAlignment="1" applyProtection="1">
      <alignment horizontal="center" vertical="center"/>
    </xf>
    <xf numFmtId="0" fontId="2" fillId="0" borderId="37" xfId="0" applyFont="1" applyBorder="1" applyProtection="1"/>
    <xf numFmtId="0" fontId="9" fillId="0" borderId="0" xfId="0" applyFont="1" applyBorder="1" applyAlignment="1" applyProtection="1">
      <alignment vertical="center" wrapText="1"/>
    </xf>
    <xf numFmtId="0" fontId="2" fillId="0" borderId="14" xfId="0" applyFont="1" applyBorder="1" applyAlignment="1" applyProtection="1">
      <alignment vertical="center"/>
    </xf>
    <xf numFmtId="0" fontId="16" fillId="0" borderId="3" xfId="0" applyFont="1" applyBorder="1" applyAlignment="1" applyProtection="1">
      <alignment horizontal="center" vertical="center"/>
    </xf>
    <xf numFmtId="0" fontId="2" fillId="3" borderId="37" xfId="0" applyFont="1" applyFill="1" applyBorder="1" applyProtection="1"/>
    <xf numFmtId="0" fontId="0" fillId="0" borderId="0" xfId="0" applyBorder="1" applyAlignment="1" applyProtection="1">
      <alignment vertical="top" wrapText="1"/>
    </xf>
    <xf numFmtId="0" fontId="9" fillId="0" borderId="0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vertical="center" wrapText="1"/>
    </xf>
    <xf numFmtId="0" fontId="0" fillId="0" borderId="0" xfId="0" applyBorder="1" applyAlignment="1" applyProtection="1">
      <alignment wrapText="1"/>
    </xf>
    <xf numFmtId="0" fontId="2" fillId="0" borderId="9" xfId="0" applyFont="1" applyFill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center"/>
    </xf>
    <xf numFmtId="0" fontId="2" fillId="0" borderId="0" xfId="0" applyFont="1" applyBorder="1" applyProtection="1"/>
    <xf numFmtId="0" fontId="16" fillId="0" borderId="6" xfId="0" applyFont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vertical="center"/>
    </xf>
    <xf numFmtId="0" fontId="2" fillId="0" borderId="38" xfId="0" applyFont="1" applyFill="1" applyBorder="1" applyAlignment="1" applyProtection="1">
      <alignment vertical="center"/>
    </xf>
    <xf numFmtId="167" fontId="16" fillId="0" borderId="23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wrapText="1"/>
    </xf>
    <xf numFmtId="1" fontId="2" fillId="0" borderId="0" xfId="0" applyNumberFormat="1" applyFont="1" applyProtection="1"/>
    <xf numFmtId="0" fontId="2" fillId="0" borderId="0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3" fontId="0" fillId="0" borderId="0" xfId="0" applyNumberFormat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top"/>
    </xf>
    <xf numFmtId="0" fontId="2" fillId="0" borderId="35" xfId="0" applyFont="1" applyBorder="1" applyAlignment="1" applyProtection="1">
      <alignment vertical="center"/>
    </xf>
    <xf numFmtId="0" fontId="3" fillId="0" borderId="16" xfId="0" applyFont="1" applyBorder="1" applyAlignment="1" applyProtection="1">
      <alignment horizontal="center" vertical="center"/>
    </xf>
    <xf numFmtId="0" fontId="16" fillId="2" borderId="4" xfId="0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/>
    <xf numFmtId="167" fontId="16" fillId="0" borderId="6" xfId="0" applyNumberFormat="1" applyFont="1" applyFill="1" applyBorder="1" applyAlignment="1" applyProtection="1">
      <alignment horizontal="center" vertical="center"/>
    </xf>
    <xf numFmtId="0" fontId="17" fillId="0" borderId="0" xfId="0" applyFont="1" applyAlignment="1" applyProtection="1"/>
    <xf numFmtId="0" fontId="15" fillId="0" borderId="1" xfId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left" vertical="top"/>
    </xf>
    <xf numFmtId="0" fontId="2" fillId="0" borderId="5" xfId="0" applyFont="1" applyBorder="1" applyAlignment="1" applyProtection="1">
      <alignment horizontal="left" vertical="top"/>
    </xf>
    <xf numFmtId="0" fontId="2" fillId="3" borderId="42" xfId="0" applyFont="1" applyFill="1" applyBorder="1" applyAlignment="1" applyProtection="1">
      <alignment horizontal="left" vertical="top"/>
      <protection locked="0"/>
    </xf>
    <xf numFmtId="0" fontId="2" fillId="3" borderId="29" xfId="0" applyFont="1" applyFill="1" applyBorder="1" applyAlignment="1" applyProtection="1">
      <alignment horizontal="left" vertical="top"/>
      <protection locked="0"/>
    </xf>
    <xf numFmtId="0" fontId="2" fillId="0" borderId="9" xfId="0" applyFont="1" applyBorder="1" applyAlignment="1" applyProtection="1">
      <alignment horizontal="left" vertical="top"/>
    </xf>
    <xf numFmtId="0" fontId="2" fillId="0" borderId="1" xfId="0" applyFont="1" applyBorder="1" applyAlignment="1" applyProtection="1">
      <alignment horizontal="left" vertical="top"/>
    </xf>
    <xf numFmtId="0" fontId="2" fillId="0" borderId="9" xfId="0" applyFont="1" applyFill="1" applyBorder="1" applyAlignment="1" applyProtection="1">
      <alignment horizontal="left" vertical="top"/>
    </xf>
    <xf numFmtId="0" fontId="2" fillId="0" borderId="1" xfId="0" applyFont="1" applyFill="1" applyBorder="1" applyAlignment="1" applyProtection="1">
      <alignment horizontal="left" vertical="top"/>
    </xf>
    <xf numFmtId="0" fontId="2" fillId="0" borderId="9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</xf>
    <xf numFmtId="171" fontId="3" fillId="0" borderId="1" xfId="0" applyNumberFormat="1" applyFont="1" applyBorder="1" applyAlignment="1" applyProtection="1">
      <alignment horizontal="center" vertical="center" wrapText="1"/>
    </xf>
    <xf numFmtId="171" fontId="3" fillId="0" borderId="10" xfId="0" applyNumberFormat="1" applyFont="1" applyBorder="1" applyAlignment="1" applyProtection="1">
      <alignment horizontal="center" vertical="center" wrapText="1"/>
    </xf>
    <xf numFmtId="171" fontId="3" fillId="0" borderId="6" xfId="0" applyNumberFormat="1" applyFont="1" applyBorder="1" applyAlignment="1" applyProtection="1">
      <alignment horizontal="center" vertical="center" wrapText="1"/>
    </xf>
    <xf numFmtId="171" fontId="3" fillId="0" borderId="7" xfId="0" applyNumberFormat="1" applyFont="1" applyBorder="1" applyAlignment="1" applyProtection="1">
      <alignment horizontal="center" vertical="center" wrapText="1"/>
    </xf>
    <xf numFmtId="165" fontId="3" fillId="0" borderId="1" xfId="0" applyNumberFormat="1" applyFont="1" applyBorder="1" applyAlignment="1" applyProtection="1">
      <alignment horizontal="center" vertical="center" wrapText="1"/>
    </xf>
    <xf numFmtId="165" fontId="0" fillId="0" borderId="10" xfId="0" applyNumberFormat="1" applyBorder="1" applyAlignment="1" applyProtection="1">
      <alignment horizontal="center" vertical="center" wrapText="1"/>
    </xf>
    <xf numFmtId="171" fontId="0" fillId="0" borderId="10" xfId="0" applyNumberFormat="1" applyBorder="1" applyAlignment="1" applyProtection="1">
      <alignment horizontal="center" vertical="center" wrapText="1"/>
    </xf>
    <xf numFmtId="171" fontId="3" fillId="0" borderId="1" xfId="0" applyNumberFormat="1" applyFont="1" applyFill="1" applyBorder="1" applyAlignment="1" applyProtection="1">
      <alignment horizontal="center" vertical="center" wrapText="1"/>
    </xf>
    <xf numFmtId="171" fontId="0" fillId="0" borderId="10" xfId="0" applyNumberFormat="1" applyFill="1" applyBorder="1" applyAlignment="1" applyProtection="1">
      <alignment horizontal="center" vertical="center" wrapText="1"/>
    </xf>
    <xf numFmtId="171" fontId="3" fillId="0" borderId="10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0" xfId="0" applyNumberFormat="1" applyFont="1" applyFill="1" applyBorder="1" applyAlignment="1" applyProtection="1">
      <alignment horizontal="center" vertical="center" wrapText="1"/>
    </xf>
    <xf numFmtId="171" fontId="19" fillId="0" borderId="10" xfId="0" applyNumberFormat="1" applyFont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left" vertical="center"/>
    </xf>
    <xf numFmtId="0" fontId="4" fillId="2" borderId="22" xfId="0" applyFont="1" applyFill="1" applyBorder="1" applyAlignment="1" applyProtection="1">
      <alignment horizontal="left" vertical="center"/>
    </xf>
    <xf numFmtId="0" fontId="4" fillId="2" borderId="18" xfId="0" applyFont="1" applyFill="1" applyBorder="1" applyAlignment="1" applyProtection="1">
      <alignment horizontal="left" vertical="center"/>
    </xf>
    <xf numFmtId="0" fontId="4" fillId="2" borderId="23" xfId="0" applyFont="1" applyFill="1" applyBorder="1" applyAlignment="1" applyProtection="1">
      <alignment horizontal="left" vertical="center"/>
    </xf>
    <xf numFmtId="0" fontId="4" fillId="2" borderId="17" xfId="0" applyFont="1" applyFill="1" applyBorder="1" applyAlignment="1" applyProtection="1">
      <alignment horizontal="left" vertical="center" wrapText="1"/>
    </xf>
    <xf numFmtId="0" fontId="4" fillId="2" borderId="22" xfId="0" applyFont="1" applyFill="1" applyBorder="1" applyAlignment="1" applyProtection="1">
      <alignment horizontal="left" vertical="center" wrapText="1"/>
    </xf>
    <xf numFmtId="0" fontId="4" fillId="2" borderId="18" xfId="0" applyFont="1" applyFill="1" applyBorder="1" applyAlignment="1" applyProtection="1">
      <alignment horizontal="left" vertical="center" wrapText="1"/>
    </xf>
    <xf numFmtId="0" fontId="4" fillId="2" borderId="23" xfId="0" applyFont="1" applyFill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top"/>
    </xf>
    <xf numFmtId="164" fontId="3" fillId="3" borderId="4" xfId="0" applyNumberFormat="1" applyFont="1" applyFill="1" applyBorder="1" applyAlignment="1" applyProtection="1">
      <alignment horizontal="center" vertical="center"/>
      <protection locked="0"/>
    </xf>
    <xf numFmtId="164" fontId="3" fillId="3" borderId="5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horizontal="center" vertical="center"/>
      <protection locked="0"/>
    </xf>
    <xf numFmtId="164" fontId="3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/>
    </xf>
    <xf numFmtId="165" fontId="3" fillId="0" borderId="10" xfId="0" applyNumberFormat="1" applyFont="1" applyBorder="1" applyAlignment="1" applyProtection="1">
      <alignment horizontal="center" vertical="center" wrapText="1"/>
    </xf>
    <xf numFmtId="164" fontId="5" fillId="2" borderId="4" xfId="0" applyNumberFormat="1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169" fontId="3" fillId="0" borderId="1" xfId="0" applyNumberFormat="1" applyFont="1" applyBorder="1" applyAlignment="1" applyProtection="1">
      <alignment horizontal="center" vertical="center" wrapText="1"/>
    </xf>
    <xf numFmtId="169" fontId="3" fillId="0" borderId="10" xfId="0" applyNumberFormat="1" applyFont="1" applyBorder="1" applyAlignment="1" applyProtection="1">
      <alignment horizontal="center" vertical="center" wrapText="1"/>
    </xf>
    <xf numFmtId="169" fontId="0" fillId="0" borderId="10" xfId="0" applyNumberFormat="1" applyBorder="1" applyAlignment="1" applyProtection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/>
      <protection locked="0"/>
    </xf>
    <xf numFmtId="0" fontId="0" fillId="3" borderId="10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35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171" fontId="3" fillId="0" borderId="2" xfId="0" applyNumberFormat="1" applyFont="1" applyBorder="1" applyAlignment="1" applyProtection="1">
      <alignment horizontal="center" vertical="center" wrapText="1"/>
    </xf>
    <xf numFmtId="171" fontId="3" fillId="0" borderId="12" xfId="0" applyNumberFormat="1" applyFont="1" applyBorder="1" applyAlignment="1" applyProtection="1">
      <alignment horizontal="center" vertical="center" wrapText="1"/>
    </xf>
    <xf numFmtId="169" fontId="3" fillId="0" borderId="2" xfId="0" applyNumberFormat="1" applyFont="1" applyBorder="1" applyAlignment="1" applyProtection="1">
      <alignment horizontal="center" vertical="center" wrapText="1"/>
    </xf>
    <xf numFmtId="169" fontId="3" fillId="0" borderId="12" xfId="0" applyNumberFormat="1" applyFont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0" fontId="2" fillId="3" borderId="11" xfId="0" applyFont="1" applyFill="1" applyBorder="1" applyAlignment="1" applyProtection="1">
      <alignment horizontal="left" vertical="center"/>
      <protection locked="0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9" fillId="0" borderId="41" xfId="0" applyFont="1" applyBorder="1" applyAlignment="1" applyProtection="1">
      <alignment horizontal="left" vertical="center"/>
    </xf>
    <xf numFmtId="0" fontId="9" fillId="0" borderId="27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/>
    </xf>
    <xf numFmtId="171" fontId="3" fillId="0" borderId="28" xfId="0" applyNumberFormat="1" applyFont="1" applyBorder="1" applyAlignment="1" applyProtection="1">
      <alignment horizontal="center" vertical="center" wrapText="1"/>
    </xf>
    <xf numFmtId="171" fontId="3" fillId="0" borderId="29" xfId="0" applyNumberFormat="1" applyFont="1" applyBorder="1" applyAlignment="1" applyProtection="1">
      <alignment horizontal="center" vertical="center" wrapText="1"/>
    </xf>
    <xf numFmtId="165" fontId="3" fillId="0" borderId="2" xfId="0" applyNumberFormat="1" applyFont="1" applyFill="1" applyBorder="1" applyAlignment="1" applyProtection="1">
      <alignment horizontal="center" vertical="center" wrapText="1"/>
    </xf>
    <xf numFmtId="165" fontId="3" fillId="0" borderId="12" xfId="0" applyNumberFormat="1" applyFont="1" applyFill="1" applyBorder="1" applyAlignment="1" applyProtection="1">
      <alignment horizontal="center" vertical="center" wrapText="1"/>
    </xf>
    <xf numFmtId="171" fontId="3" fillId="0" borderId="3" xfId="0" applyNumberFormat="1" applyFont="1" applyBorder="1" applyAlignment="1" applyProtection="1">
      <alignment horizontal="center" vertical="center" wrapText="1"/>
    </xf>
    <xf numFmtId="171" fontId="0" fillId="0" borderId="15" xfId="0" applyNumberFormat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left" vertical="center"/>
    </xf>
    <xf numFmtId="171" fontId="3" fillId="0" borderId="2" xfId="0" applyNumberFormat="1" applyFont="1" applyFill="1" applyBorder="1" applyAlignment="1" applyProtection="1">
      <alignment horizontal="center" vertical="center" wrapText="1"/>
    </xf>
    <xf numFmtId="171" fontId="3" fillId="0" borderId="12" xfId="0" applyNumberFormat="1" applyFont="1" applyFill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left" vertical="center"/>
      <protection locked="0"/>
    </xf>
    <xf numFmtId="0" fontId="2" fillId="3" borderId="29" xfId="0" applyFont="1" applyFill="1" applyBorder="1" applyAlignment="1" applyProtection="1">
      <alignment horizontal="left" vertical="center"/>
      <protection locked="0"/>
    </xf>
    <xf numFmtId="3" fontId="3" fillId="0" borderId="28" xfId="0" applyNumberFormat="1" applyFont="1" applyBorder="1" applyAlignment="1" applyProtection="1">
      <alignment horizontal="center" vertical="center" wrapText="1"/>
    </xf>
    <xf numFmtId="3" fontId="3" fillId="0" borderId="29" xfId="0" applyNumberFormat="1" applyFont="1" applyBorder="1" applyAlignment="1" applyProtection="1">
      <alignment horizontal="center" vertical="center" wrapText="1"/>
    </xf>
    <xf numFmtId="164" fontId="5" fillId="2" borderId="30" xfId="0" applyNumberFormat="1" applyFont="1" applyFill="1" applyBorder="1" applyAlignment="1" applyProtection="1">
      <alignment horizontal="center" vertical="center" wrapText="1"/>
    </xf>
    <xf numFmtId="164" fontId="5" fillId="2" borderId="31" xfId="0" applyNumberFormat="1" applyFont="1" applyFill="1" applyBorder="1" applyAlignment="1" applyProtection="1">
      <alignment horizontal="center" vertical="center" wrapText="1"/>
    </xf>
    <xf numFmtId="168" fontId="3" fillId="0" borderId="2" xfId="0" applyNumberFormat="1" applyFont="1" applyBorder="1" applyAlignment="1" applyProtection="1">
      <alignment horizontal="center" vertical="center" wrapText="1"/>
    </xf>
    <xf numFmtId="168" fontId="3" fillId="0" borderId="12" xfId="0" applyNumberFormat="1" applyFont="1" applyBorder="1" applyAlignment="1" applyProtection="1">
      <alignment horizontal="center" vertical="center" wrapText="1"/>
    </xf>
    <xf numFmtId="3" fontId="3" fillId="0" borderId="2" xfId="0" applyNumberFormat="1" applyFont="1" applyBorder="1" applyAlignment="1" applyProtection="1">
      <alignment horizontal="center" vertical="center" wrapText="1"/>
    </xf>
    <xf numFmtId="3" fontId="3" fillId="0" borderId="12" xfId="0" applyNumberFormat="1" applyFont="1" applyBorder="1" applyAlignment="1" applyProtection="1">
      <alignment horizontal="center" vertical="center" wrapText="1"/>
    </xf>
    <xf numFmtId="3" fontId="3" fillId="0" borderId="32" xfId="0" applyNumberFormat="1" applyFont="1" applyBorder="1" applyAlignment="1" applyProtection="1">
      <alignment horizontal="center" vertical="center" wrapText="1"/>
    </xf>
    <xf numFmtId="3" fontId="3" fillId="0" borderId="33" xfId="0" applyNumberFormat="1" applyFont="1" applyBorder="1" applyAlignment="1" applyProtection="1">
      <alignment horizontal="center" vertical="center" wrapText="1"/>
    </xf>
    <xf numFmtId="165" fontId="3" fillId="0" borderId="2" xfId="0" applyNumberFormat="1" applyFont="1" applyBorder="1" applyAlignment="1" applyProtection="1">
      <alignment horizontal="center" vertical="center" wrapText="1"/>
    </xf>
    <xf numFmtId="165" fontId="3" fillId="0" borderId="12" xfId="0" applyNumberFormat="1" applyFont="1" applyBorder="1" applyAlignment="1" applyProtection="1">
      <alignment horizontal="center" vertical="center" wrapText="1"/>
    </xf>
    <xf numFmtId="1" fontId="3" fillId="0" borderId="2" xfId="0" applyNumberFormat="1" applyFont="1" applyFill="1" applyBorder="1" applyAlignment="1" applyProtection="1">
      <alignment horizontal="center" vertical="center" wrapText="1"/>
    </xf>
    <xf numFmtId="1" fontId="3" fillId="0" borderId="12" xfId="0" applyNumberFormat="1" applyFont="1" applyFill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2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&#1042;&#1080;&#1076;&#1080;&#1084;&#1099;&#1081; &#1074;&#1077;&#1088;&#1093;&#1085;&#1080;&#1081; &#1090;&#1088;&#1077;&#1082;'!D7"/><Relationship Id="rId2" Type="http://schemas.openxmlformats.org/officeDocument/2006/relationships/hyperlink" Target="#'&#1057;&#1082;&#1088;&#1099;&#1090;&#1099;&#1081; &#1074;&#1077;&#1088;&#1093;&#1085;&#1080;&#1081; &#1090;&#1088;&#1077;&#1082;, &#1082;&#1086;&#1088;&#1087;&#1091;&#1089;'!D7"/><Relationship Id="rId1" Type="http://schemas.openxmlformats.org/officeDocument/2006/relationships/hyperlink" Target="#'&#1057;&#1082;&#1088;&#1099;&#1090;&#1099;&#1081; &#1074;&#1077;&#1088;&#1093;&#1085;&#1080;&#1081; &#1090;&#1088;&#1077;&#1082;, &#1087;&#1088;&#1086;&#1077;&#1084;'!D7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396327</xdr:colOff>
      <xdr:row>10</xdr:row>
      <xdr:rowOff>157407</xdr:rowOff>
    </xdr:from>
    <xdr:ext cx="3042000" cy="342786"/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615527" y="2062407"/>
          <a:ext cx="3042000" cy="342786"/>
        </a:xfrm>
        <a:prstGeom prst="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1600" b="0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rgbClr val="92D050"/>
              </a:solidFill>
              <a:effectLst>
                <a:outerShdw blurRad="50800" algn="tl" rotWithShape="0">
                  <a:srgbClr val="000000"/>
                </a:outerShdw>
              </a:effectLst>
            </a:rPr>
            <a:t>Скрытый</a:t>
          </a:r>
          <a:r>
            <a:rPr lang="ru-RU" sz="1600" b="0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rgbClr val="92D050"/>
              </a:solidFill>
              <a:effectLst>
                <a:outerShdw blurRad="50800" algn="tl" rotWithShape="0">
                  <a:srgbClr val="000000"/>
                </a:outerShdw>
              </a:effectLst>
            </a:rPr>
            <a:t> верхний трек, проем</a:t>
          </a:r>
          <a:endParaRPr lang="ru-RU" sz="1600" b="0" cap="none" spc="0">
            <a:ln w="17780" cmpd="sng">
              <a:solidFill>
                <a:srgbClr val="FFFFFF"/>
              </a:solidFill>
              <a:prstDash val="solid"/>
              <a:miter lim="800000"/>
            </a:ln>
            <a:solidFill>
              <a:srgbClr val="92D050"/>
            </a:soli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2</xdr:col>
      <xdr:colOff>404264</xdr:colOff>
      <xdr:row>8</xdr:row>
      <xdr:rowOff>142143</xdr:rowOff>
    </xdr:from>
    <xdr:ext cx="3042000" cy="342786"/>
    <xdr:sp macro="" textlink="">
      <xdr:nvSpPr>
        <xdr:cNvPr id="3" name="Прямоугольник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623464" y="1666143"/>
          <a:ext cx="3042000" cy="342786"/>
        </a:xfrm>
        <a:prstGeom prst="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1600" b="0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rgbClr val="92D050"/>
              </a:solidFill>
              <a:effectLst>
                <a:outerShdw blurRad="50800" algn="tl" rotWithShape="0">
                  <a:srgbClr val="000000"/>
                </a:outerShdw>
              </a:effectLst>
            </a:rPr>
            <a:t>Скрытый</a:t>
          </a:r>
          <a:r>
            <a:rPr lang="ru-RU" sz="1600" b="0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rgbClr val="92D050"/>
              </a:solidFill>
              <a:effectLst>
                <a:outerShdw blurRad="50800" algn="tl" rotWithShape="0">
                  <a:srgbClr val="000000"/>
                </a:outerShdw>
              </a:effectLst>
            </a:rPr>
            <a:t> верхний трек, корпус</a:t>
          </a:r>
          <a:endParaRPr lang="ru-RU" sz="1600" b="0" cap="none" spc="0">
            <a:ln w="17780" cmpd="sng">
              <a:solidFill>
                <a:srgbClr val="FFFFFF"/>
              </a:solidFill>
              <a:prstDash val="solid"/>
              <a:miter lim="800000"/>
            </a:ln>
            <a:solidFill>
              <a:srgbClr val="92D050"/>
            </a:soli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2</xdr:col>
      <xdr:colOff>404203</xdr:colOff>
      <xdr:row>6</xdr:row>
      <xdr:rowOff>126877</xdr:rowOff>
    </xdr:from>
    <xdr:ext cx="3042000" cy="342786"/>
    <xdr:sp macro="" textlink="">
      <xdr:nvSpPr>
        <xdr:cNvPr id="4" name="Прямоугольник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623403" y="1269877"/>
          <a:ext cx="3042000" cy="342786"/>
        </a:xfrm>
        <a:prstGeom prst="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1600" b="0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rgbClr val="92D050"/>
              </a:solidFill>
              <a:effectLst>
                <a:outerShdw blurRad="50800" algn="tl" rotWithShape="0">
                  <a:srgbClr val="000000"/>
                </a:outerShdw>
              </a:effectLst>
            </a:rPr>
            <a:t>Видимый</a:t>
          </a:r>
          <a:r>
            <a:rPr lang="ru-RU" sz="1600" b="0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rgbClr val="92D050"/>
              </a:solidFill>
              <a:effectLst>
                <a:outerShdw blurRad="50800" algn="tl" rotWithShape="0">
                  <a:srgbClr val="000000"/>
                </a:outerShdw>
              </a:effectLst>
            </a:rPr>
            <a:t> верхний трек</a:t>
          </a:r>
          <a:endParaRPr lang="ru-RU" sz="1600" b="0" cap="none" spc="0">
            <a:ln w="17780" cmpd="sng">
              <a:solidFill>
                <a:srgbClr val="FFFFFF"/>
              </a:solidFill>
              <a:prstDash val="solid"/>
              <a:miter lim="800000"/>
            </a:ln>
            <a:solidFill>
              <a:srgbClr val="92D050"/>
            </a:soli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8</xdr:col>
      <xdr:colOff>376167</xdr:colOff>
      <xdr:row>0</xdr:row>
      <xdr:rowOff>51420</xdr:rowOff>
    </xdr:from>
    <xdr:to>
      <xdr:col>9</xdr:col>
      <xdr:colOff>545121</xdr:colOff>
      <xdr:row>2</xdr:row>
      <xdr:rowOff>139212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00567" y="51420"/>
          <a:ext cx="778554" cy="4687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610689</xdr:colOff>
      <xdr:row>1</xdr:row>
      <xdr:rowOff>244928</xdr:rowOff>
    </xdr:from>
    <xdr:to>
      <xdr:col>17</xdr:col>
      <xdr:colOff>380999</xdr:colOff>
      <xdr:row>40</xdr:row>
      <xdr:rowOff>97205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25903" y="489857"/>
          <a:ext cx="2831917" cy="958138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666748</xdr:colOff>
      <xdr:row>35</xdr:row>
      <xdr:rowOff>190503</xdr:rowOff>
    </xdr:from>
    <xdr:to>
      <xdr:col>1</xdr:col>
      <xdr:colOff>1973036</xdr:colOff>
      <xdr:row>47</xdr:row>
      <xdr:rowOff>237839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69" y="7715253"/>
          <a:ext cx="1306288" cy="30953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194282</xdr:colOff>
      <xdr:row>1</xdr:row>
      <xdr:rowOff>312965</xdr:rowOff>
    </xdr:from>
    <xdr:to>
      <xdr:col>22</xdr:col>
      <xdr:colOff>462642</xdr:colOff>
      <xdr:row>40</xdr:row>
      <xdr:rowOff>144902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36068" y="557894"/>
          <a:ext cx="6391574" cy="95610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666751</xdr:colOff>
      <xdr:row>36</xdr:row>
      <xdr:rowOff>163285</xdr:rowOff>
    </xdr:from>
    <xdr:to>
      <xdr:col>1</xdr:col>
      <xdr:colOff>1973039</xdr:colOff>
      <xdr:row>49</xdr:row>
      <xdr:rowOff>74549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6608" y="7932964"/>
          <a:ext cx="1306288" cy="30953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450819</xdr:colOff>
      <xdr:row>1</xdr:row>
      <xdr:rowOff>176891</xdr:rowOff>
    </xdr:from>
    <xdr:to>
      <xdr:col>22</xdr:col>
      <xdr:colOff>408214</xdr:colOff>
      <xdr:row>41</xdr:row>
      <xdr:rowOff>60409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2605" y="421820"/>
          <a:ext cx="6080609" cy="98575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653143</xdr:colOff>
      <xdr:row>37</xdr:row>
      <xdr:rowOff>190500</xdr:rowOff>
    </xdr:from>
    <xdr:to>
      <xdr:col>1</xdr:col>
      <xdr:colOff>1959431</xdr:colOff>
      <xdr:row>50</xdr:row>
      <xdr:rowOff>101765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5464" y="7960179"/>
          <a:ext cx="1306288" cy="3095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M11" sqref="M11"/>
    </sheetView>
  </sheetViews>
  <sheetFormatPr defaultRowHeight="15" x14ac:dyDescent="0.25"/>
  <sheetData>
    <row r="1" spans="1:11" x14ac:dyDescent="0.25">
      <c r="A1" s="11"/>
      <c r="B1" s="12"/>
      <c r="C1" s="12"/>
      <c r="D1" s="12"/>
      <c r="E1" s="12"/>
      <c r="F1" s="12"/>
      <c r="G1" s="12"/>
      <c r="H1" s="12"/>
      <c r="I1" s="12"/>
      <c r="J1" s="13"/>
      <c r="K1" s="14"/>
    </row>
    <row r="2" spans="1:11" x14ac:dyDescent="0.25">
      <c r="A2" s="15"/>
      <c r="B2" s="16"/>
      <c r="C2" s="16"/>
      <c r="D2" s="16"/>
      <c r="E2" s="16"/>
      <c r="F2" s="16"/>
      <c r="G2" s="16"/>
      <c r="H2" s="16"/>
      <c r="I2" s="16"/>
      <c r="J2" s="17"/>
      <c r="K2" s="14"/>
    </row>
    <row r="3" spans="1:11" x14ac:dyDescent="0.25">
      <c r="A3" s="15"/>
      <c r="B3" s="16"/>
      <c r="C3" s="16"/>
      <c r="D3" s="16"/>
      <c r="E3" s="16"/>
      <c r="F3" s="16"/>
      <c r="G3" s="16"/>
      <c r="H3" s="16"/>
      <c r="I3" s="16"/>
      <c r="J3" s="17"/>
      <c r="K3" s="14"/>
    </row>
    <row r="4" spans="1:11" x14ac:dyDescent="0.25">
      <c r="A4" s="15"/>
      <c r="B4" s="16"/>
      <c r="C4" s="16"/>
      <c r="D4" s="16"/>
      <c r="E4" s="16"/>
      <c r="F4" s="16"/>
      <c r="G4" s="16"/>
      <c r="H4" s="16"/>
      <c r="I4" s="16"/>
      <c r="J4" s="17"/>
      <c r="K4" s="14"/>
    </row>
    <row r="5" spans="1:11" x14ac:dyDescent="0.25">
      <c r="A5" s="15"/>
      <c r="B5" s="16"/>
      <c r="C5" s="16"/>
      <c r="D5" s="16"/>
      <c r="E5" s="16"/>
      <c r="F5" s="16"/>
      <c r="G5" s="16"/>
      <c r="H5" s="16"/>
      <c r="I5" s="16"/>
      <c r="J5" s="17"/>
      <c r="K5" s="14"/>
    </row>
    <row r="6" spans="1:11" x14ac:dyDescent="0.25">
      <c r="A6" s="15"/>
      <c r="B6" s="16"/>
      <c r="C6" s="16"/>
      <c r="D6" s="16"/>
      <c r="E6" s="16"/>
      <c r="F6" s="16"/>
      <c r="G6" s="16"/>
      <c r="H6" s="16"/>
      <c r="I6" s="16"/>
      <c r="J6" s="17"/>
      <c r="K6" s="14"/>
    </row>
    <row r="7" spans="1:11" x14ac:dyDescent="0.25">
      <c r="A7" s="15"/>
      <c r="B7" s="16"/>
      <c r="C7" s="16"/>
      <c r="D7" s="16"/>
      <c r="E7" s="16"/>
      <c r="F7" s="16"/>
      <c r="G7" s="16"/>
      <c r="H7" s="16"/>
      <c r="I7" s="16"/>
      <c r="J7" s="17"/>
      <c r="K7" s="14"/>
    </row>
    <row r="8" spans="1:11" x14ac:dyDescent="0.25">
      <c r="A8" s="15"/>
      <c r="B8" s="16"/>
      <c r="C8" s="16"/>
      <c r="D8" s="16"/>
      <c r="E8" s="16"/>
      <c r="F8" s="16"/>
      <c r="G8" s="16"/>
      <c r="H8" s="16"/>
      <c r="I8" s="16"/>
      <c r="J8" s="17"/>
      <c r="K8" s="14"/>
    </row>
    <row r="9" spans="1:11" x14ac:dyDescent="0.25">
      <c r="A9" s="15"/>
      <c r="B9" s="16"/>
      <c r="C9" s="16"/>
      <c r="D9" s="16"/>
      <c r="E9" s="16"/>
      <c r="F9" s="16"/>
      <c r="G9" s="16"/>
      <c r="H9" s="16"/>
      <c r="I9" s="16"/>
      <c r="J9" s="17"/>
      <c r="K9" s="14"/>
    </row>
    <row r="10" spans="1:11" x14ac:dyDescent="0.25">
      <c r="A10" s="15"/>
      <c r="B10" s="16"/>
      <c r="C10" s="16"/>
      <c r="D10" s="16"/>
      <c r="E10" s="16"/>
      <c r="F10" s="16"/>
      <c r="G10" s="16"/>
      <c r="H10" s="16"/>
      <c r="I10" s="16"/>
      <c r="J10" s="17"/>
      <c r="K10" s="14"/>
    </row>
    <row r="11" spans="1:11" x14ac:dyDescent="0.25">
      <c r="A11" s="15"/>
      <c r="B11" s="16"/>
      <c r="C11" s="16"/>
      <c r="D11" s="16"/>
      <c r="E11" s="16"/>
      <c r="F11" s="16"/>
      <c r="G11" s="16"/>
      <c r="H11" s="16"/>
      <c r="I11" s="16"/>
      <c r="J11" s="17"/>
      <c r="K11" s="14"/>
    </row>
    <row r="12" spans="1:11" x14ac:dyDescent="0.25">
      <c r="A12" s="15"/>
      <c r="B12" s="16"/>
      <c r="C12" s="16"/>
      <c r="D12" s="16"/>
      <c r="E12" s="16"/>
      <c r="F12" s="16"/>
      <c r="G12" s="16"/>
      <c r="H12" s="16"/>
      <c r="I12" s="16"/>
      <c r="J12" s="17"/>
      <c r="K12" s="14"/>
    </row>
    <row r="13" spans="1:11" x14ac:dyDescent="0.25">
      <c r="A13" s="15"/>
      <c r="B13" s="16"/>
      <c r="C13" s="16"/>
      <c r="D13" s="16"/>
      <c r="E13" s="16"/>
      <c r="F13" s="16"/>
      <c r="G13" s="16"/>
      <c r="H13" s="16"/>
      <c r="I13" s="16"/>
      <c r="J13" s="17"/>
      <c r="K13" s="14"/>
    </row>
    <row r="14" spans="1:11" x14ac:dyDescent="0.25">
      <c r="A14" s="15"/>
      <c r="B14" s="16"/>
      <c r="C14" s="16"/>
      <c r="D14" s="16"/>
      <c r="E14" s="16"/>
      <c r="F14" s="16"/>
      <c r="G14" s="16"/>
      <c r="H14" s="16"/>
      <c r="I14" s="16"/>
      <c r="J14" s="17"/>
      <c r="K14" s="14"/>
    </row>
    <row r="15" spans="1:11" x14ac:dyDescent="0.25">
      <c r="A15" s="15"/>
      <c r="B15" s="16"/>
      <c r="C15" s="16"/>
      <c r="D15" s="16"/>
      <c r="E15" s="16"/>
      <c r="F15" s="16"/>
      <c r="G15" s="16"/>
      <c r="H15" s="16"/>
      <c r="I15" s="16"/>
      <c r="J15" s="17"/>
      <c r="K15" s="14"/>
    </row>
    <row r="16" spans="1:11" ht="15.75" thickBot="1" x14ac:dyDescent="0.3">
      <c r="A16" s="18"/>
      <c r="B16" s="19"/>
      <c r="C16" s="19"/>
      <c r="D16" s="19"/>
      <c r="E16" s="19"/>
      <c r="F16" s="19"/>
      <c r="G16" s="19"/>
      <c r="H16" s="19"/>
      <c r="I16" s="19"/>
      <c r="J16" s="20"/>
      <c r="K16" s="14"/>
    </row>
    <row r="17" spans="1:11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spans="1:11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1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</row>
  </sheetData>
  <sheetProtection algorithmName="SHA-512" hashValue="SKRm9vfF9RxYz4P5BYkvC6RWRzGMb/X5jZndseZ5i8qjGE1w09A1+2iLoFYxNUNx62V9xyhKg/M/o3nYLUNH8Q==" saltValue="mhW4c1NSxCD7+noM3bQDhg==" spinCount="100000" sheet="1" objects="1" scenarios="1"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8"/>
  <sheetViews>
    <sheetView zoomScale="70" zoomScaleNormal="70" workbookViewId="0">
      <selection activeCell="D7" sqref="D7:E7"/>
    </sheetView>
  </sheetViews>
  <sheetFormatPr defaultColWidth="9.140625" defaultRowHeight="18.75" x14ac:dyDescent="0.3"/>
  <cols>
    <col min="1" max="1" width="4.7109375" style="41" customWidth="1"/>
    <col min="2" max="3" width="43.7109375" style="41" customWidth="1"/>
    <col min="4" max="5" width="14.7109375" style="47" customWidth="1"/>
    <col min="6" max="6" width="3.7109375" style="41" customWidth="1"/>
    <col min="7" max="7" width="79.7109375" style="41" customWidth="1"/>
    <col min="8" max="8" width="20.7109375" style="41" customWidth="1"/>
    <col min="9" max="10" width="17.7109375" style="41" customWidth="1"/>
    <col min="11" max="11" width="10.28515625" style="41" hidden="1" customWidth="1"/>
    <col min="12" max="12" width="9.140625" style="41" hidden="1" customWidth="1"/>
    <col min="13" max="17" width="9.140625" style="41"/>
    <col min="18" max="18" width="9.140625" style="41" customWidth="1"/>
    <col min="19" max="19" width="48.5703125" style="41" hidden="1" customWidth="1"/>
    <col min="20" max="20" width="17.140625" style="41" customWidth="1"/>
    <col min="21" max="16384" width="9.140625" style="41"/>
  </cols>
  <sheetData>
    <row r="1" spans="2:19" x14ac:dyDescent="0.3">
      <c r="C1" s="46"/>
    </row>
    <row r="2" spans="2:19" s="38" customFormat="1" ht="27.6" customHeight="1" x14ac:dyDescent="0.25">
      <c r="B2" s="146" t="s">
        <v>18</v>
      </c>
      <c r="C2" s="146"/>
      <c r="D2" s="146"/>
      <c r="E2" s="146"/>
      <c r="F2" s="146"/>
      <c r="G2" s="146"/>
      <c r="H2" s="146"/>
      <c r="I2" s="146"/>
      <c r="J2" s="146"/>
    </row>
    <row r="3" spans="2:19" s="48" customFormat="1" ht="26.1" customHeight="1" x14ac:dyDescent="0.25">
      <c r="B3" s="146"/>
      <c r="C3" s="146"/>
      <c r="D3" s="146"/>
      <c r="E3" s="146"/>
      <c r="F3" s="146"/>
      <c r="G3" s="146"/>
      <c r="H3" s="146"/>
      <c r="I3" s="146"/>
      <c r="J3" s="146"/>
    </row>
    <row r="4" spans="2:19" s="48" customFormat="1" ht="20.100000000000001" customHeight="1" x14ac:dyDescent="0.3">
      <c r="C4" s="49"/>
      <c r="D4" s="49"/>
      <c r="E4" s="49"/>
      <c r="G4" s="50"/>
      <c r="H4" s="50"/>
      <c r="I4" s="50"/>
      <c r="J4" s="50"/>
    </row>
    <row r="5" spans="2:19" s="48" customFormat="1" ht="20.100000000000001" customHeight="1" x14ac:dyDescent="0.25">
      <c r="B5" s="147" t="s">
        <v>11</v>
      </c>
      <c r="C5" s="147"/>
      <c r="D5" s="147"/>
      <c r="E5" s="147"/>
      <c r="G5" s="147" t="s">
        <v>10</v>
      </c>
      <c r="H5" s="147"/>
      <c r="I5" s="147"/>
      <c r="J5" s="147"/>
    </row>
    <row r="6" spans="2:19" s="38" customFormat="1" ht="20.100000000000001" customHeight="1" thickBot="1" x14ac:dyDescent="0.3">
      <c r="C6" s="51"/>
      <c r="D6" s="51"/>
      <c r="E6" s="51"/>
      <c r="F6" s="48"/>
      <c r="G6" s="51"/>
      <c r="H6" s="51"/>
      <c r="I6" s="51"/>
      <c r="J6" s="51"/>
    </row>
    <row r="7" spans="2:19" s="38" customFormat="1" ht="20.100000000000001" customHeight="1" x14ac:dyDescent="0.25">
      <c r="B7" s="123" t="s">
        <v>0</v>
      </c>
      <c r="C7" s="158"/>
      <c r="D7" s="159">
        <v>2600</v>
      </c>
      <c r="E7" s="160"/>
      <c r="G7" s="150" t="s">
        <v>7</v>
      </c>
      <c r="H7" s="151"/>
      <c r="I7" s="52" t="s">
        <v>5</v>
      </c>
      <c r="J7" s="1">
        <f>D7-45</f>
        <v>2555</v>
      </c>
    </row>
    <row r="8" spans="2:19" s="38" customFormat="1" ht="20.100000000000001" customHeight="1" thickBot="1" x14ac:dyDescent="0.3">
      <c r="B8" s="127" t="s">
        <v>17</v>
      </c>
      <c r="C8" s="128"/>
      <c r="D8" s="161">
        <v>1800</v>
      </c>
      <c r="E8" s="162"/>
      <c r="G8" s="152"/>
      <c r="H8" s="153"/>
      <c r="I8" s="53" t="s">
        <v>6</v>
      </c>
      <c r="J8" s="2">
        <f>ROUNDUP(IF(AND(OR(D19=S57,D19=S58),D9=S48),(D8-20+D11*12)/D10,
IF(AND(OR(D19=S57,D19=S58),D9&lt;&gt;S48),(D8-10+D11*12)/D10,(D8+D11*12)/D10)),0)</f>
        <v>901</v>
      </c>
    </row>
    <row r="9" spans="2:19" s="38" customFormat="1" ht="20.100000000000001" customHeight="1" x14ac:dyDescent="0.25">
      <c r="B9" s="127" t="s">
        <v>103</v>
      </c>
      <c r="C9" s="128"/>
      <c r="D9" s="161" t="s">
        <v>98</v>
      </c>
      <c r="E9" s="162"/>
      <c r="G9" s="54"/>
      <c r="H9" s="54"/>
      <c r="I9" s="55"/>
      <c r="J9" s="31"/>
    </row>
    <row r="10" spans="2:19" s="38" customFormat="1" ht="20.100000000000001" customHeight="1" thickBot="1" x14ac:dyDescent="0.3">
      <c r="B10" s="127" t="s">
        <v>1</v>
      </c>
      <c r="C10" s="128"/>
      <c r="D10" s="163">
        <f>IF(D9=S45,2,IF(D9=S46,3,IF(D9=S47,4,IF(D9=S48,4,IF(D9=S49,5)))))</f>
        <v>2</v>
      </c>
      <c r="E10" s="164"/>
      <c r="G10" s="54"/>
      <c r="H10" s="54"/>
      <c r="I10" s="55"/>
      <c r="J10" s="3"/>
      <c r="S10" s="38" t="s">
        <v>97</v>
      </c>
    </row>
    <row r="11" spans="2:19" s="38" customFormat="1" ht="20.100000000000001" customHeight="1" x14ac:dyDescent="0.3">
      <c r="B11" s="131" t="s">
        <v>134</v>
      </c>
      <c r="C11" s="132"/>
      <c r="D11" s="163">
        <f>IF(D9=S45,1,IF(D9=S46,2,IF(D9=S47,3,IF(D9=S48,2,IF(D9=S49,4)))))</f>
        <v>1</v>
      </c>
      <c r="E11" s="164"/>
      <c r="G11" s="154" t="s">
        <v>104</v>
      </c>
      <c r="H11" s="155"/>
      <c r="I11" s="56" t="s">
        <v>12</v>
      </c>
      <c r="J11" s="1">
        <f>ROUNDDOWN(J7-1.6*D13-26*D14-3.5*2-26*D15,0)</f>
        <v>2548</v>
      </c>
      <c r="K11" s="104"/>
      <c r="S11" s="38" t="s">
        <v>29</v>
      </c>
    </row>
    <row r="12" spans="2:19" s="38" customFormat="1" ht="20.100000000000001" customHeight="1" thickBot="1" x14ac:dyDescent="0.3">
      <c r="B12" s="127" t="s">
        <v>112</v>
      </c>
      <c r="C12" s="128"/>
      <c r="D12" s="148">
        <v>0</v>
      </c>
      <c r="E12" s="149"/>
      <c r="G12" s="156"/>
      <c r="H12" s="157"/>
      <c r="I12" s="53" t="s">
        <v>6</v>
      </c>
      <c r="J12" s="2">
        <f>J8-4</f>
        <v>897</v>
      </c>
    </row>
    <row r="13" spans="2:19" s="38" customFormat="1" ht="20.100000000000001" customHeight="1" thickBot="1" x14ac:dyDescent="0.3">
      <c r="B13" s="129" t="s">
        <v>24</v>
      </c>
      <c r="C13" s="130"/>
      <c r="D13" s="148">
        <v>0</v>
      </c>
      <c r="E13" s="149"/>
      <c r="G13" s="54"/>
      <c r="H13" s="54"/>
      <c r="I13" s="57"/>
      <c r="J13" s="58"/>
    </row>
    <row r="14" spans="2:19" s="38" customFormat="1" ht="20.100000000000001" customHeight="1" x14ac:dyDescent="0.25">
      <c r="B14" s="129" t="s">
        <v>25</v>
      </c>
      <c r="C14" s="130"/>
      <c r="D14" s="148">
        <v>0</v>
      </c>
      <c r="E14" s="149"/>
      <c r="G14" s="59" t="s">
        <v>2</v>
      </c>
      <c r="H14" s="60" t="s">
        <v>30</v>
      </c>
      <c r="I14" s="52" t="s">
        <v>3</v>
      </c>
      <c r="J14" s="61" t="s">
        <v>4</v>
      </c>
    </row>
    <row r="15" spans="2:19" s="38" customFormat="1" ht="20.100000000000001" customHeight="1" x14ac:dyDescent="0.3">
      <c r="B15" s="129" t="s">
        <v>26</v>
      </c>
      <c r="C15" s="130"/>
      <c r="D15" s="148">
        <v>0</v>
      </c>
      <c r="E15" s="149"/>
      <c r="G15" s="62" t="s">
        <v>31</v>
      </c>
      <c r="H15" s="63" t="s">
        <v>32</v>
      </c>
      <c r="I15" s="4">
        <f>D8-2</f>
        <v>1798</v>
      </c>
      <c r="J15" s="5">
        <v>1</v>
      </c>
      <c r="K15" s="38">
        <v>0.75800000000000001</v>
      </c>
      <c r="L15" s="64">
        <f>I15*K15*J15/1000</f>
        <v>1.362884</v>
      </c>
      <c r="S15" s="38" t="s">
        <v>77</v>
      </c>
    </row>
    <row r="16" spans="2:19" s="38" customFormat="1" ht="20.100000000000001" customHeight="1" x14ac:dyDescent="0.3">
      <c r="B16" s="129" t="s">
        <v>23</v>
      </c>
      <c r="C16" s="130"/>
      <c r="D16" s="148">
        <v>0</v>
      </c>
      <c r="E16" s="149"/>
      <c r="G16" s="62" t="s">
        <v>33</v>
      </c>
      <c r="H16" s="63" t="s">
        <v>34</v>
      </c>
      <c r="I16" s="4">
        <f>D8-2</f>
        <v>1798</v>
      </c>
      <c r="J16" s="5">
        <v>1</v>
      </c>
      <c r="K16" s="38">
        <v>0.33700000000000002</v>
      </c>
      <c r="L16" s="64">
        <f t="shared" ref="L16:L34" si="0">I16*K16*J16/1000</f>
        <v>0.60592600000000008</v>
      </c>
      <c r="S16" s="38" t="s">
        <v>81</v>
      </c>
    </row>
    <row r="17" spans="2:19" s="38" customFormat="1" ht="20.100000000000001" customHeight="1" x14ac:dyDescent="0.3">
      <c r="B17" s="127" t="s">
        <v>27</v>
      </c>
      <c r="C17" s="128"/>
      <c r="D17" s="32">
        <v>140</v>
      </c>
      <c r="E17" s="34">
        <v>0</v>
      </c>
      <c r="G17" s="35" t="s">
        <v>35</v>
      </c>
      <c r="H17" s="63" t="s">
        <v>36</v>
      </c>
      <c r="I17" s="6">
        <f>J7</f>
        <v>2555</v>
      </c>
      <c r="J17" s="7">
        <f>D10*2</f>
        <v>4</v>
      </c>
      <c r="K17" s="38">
        <v>0.29799999999999999</v>
      </c>
      <c r="L17" s="64">
        <f t="shared" si="0"/>
        <v>3.04556</v>
      </c>
    </row>
    <row r="18" spans="2:19" s="38" customFormat="1" ht="20.100000000000001" customHeight="1" x14ac:dyDescent="0.3">
      <c r="B18" s="131" t="s">
        <v>9</v>
      </c>
      <c r="C18" s="132"/>
      <c r="D18" s="116" t="s">
        <v>106</v>
      </c>
      <c r="E18" s="117"/>
      <c r="G18" s="35" t="s">
        <v>37</v>
      </c>
      <c r="H18" s="63" t="s">
        <v>38</v>
      </c>
      <c r="I18" s="6">
        <f>J8-2*5</f>
        <v>891</v>
      </c>
      <c r="J18" s="7">
        <f>(D13+2)*D10</f>
        <v>4</v>
      </c>
      <c r="K18" s="38">
        <v>6.8000000000000005E-2</v>
      </c>
      <c r="L18" s="64">
        <f t="shared" si="0"/>
        <v>0.24235200000000001</v>
      </c>
    </row>
    <row r="19" spans="2:19" s="38" customFormat="1" ht="20.100000000000001" customHeight="1" x14ac:dyDescent="0.3">
      <c r="B19" s="131" t="s">
        <v>124</v>
      </c>
      <c r="C19" s="132"/>
      <c r="D19" s="171" t="s">
        <v>114</v>
      </c>
      <c r="E19" s="172"/>
      <c r="G19" s="35" t="s">
        <v>39</v>
      </c>
      <c r="H19" s="65" t="s">
        <v>40</v>
      </c>
      <c r="I19" s="6">
        <f>IF(J19&lt;&gt;0,I18,0)</f>
        <v>0</v>
      </c>
      <c r="J19" s="7">
        <f>D14*D10-IF(D14&gt;0,IF(E17&gt;0,D10,IF(D16&gt;0,D10,0)),0)</f>
        <v>0</v>
      </c>
      <c r="K19" s="38">
        <v>0.30499999999999999</v>
      </c>
      <c r="L19" s="64">
        <f t="shared" si="0"/>
        <v>0</v>
      </c>
    </row>
    <row r="20" spans="2:19" s="38" customFormat="1" ht="20.100000000000001" customHeight="1" thickBot="1" x14ac:dyDescent="0.35">
      <c r="B20" s="118" t="s">
        <v>129</v>
      </c>
      <c r="C20" s="119"/>
      <c r="D20" s="120" t="s">
        <v>107</v>
      </c>
      <c r="E20" s="121"/>
      <c r="G20" s="35" t="s">
        <v>41</v>
      </c>
      <c r="H20" s="65" t="s">
        <v>40</v>
      </c>
      <c r="I20" s="6">
        <f>IF(J20&lt;&gt;0,I18-D17*E17-200*D16,0)</f>
        <v>0</v>
      </c>
      <c r="J20" s="7">
        <f>IF(D14&gt;0,IF(E17&gt;0,D10,IF(D16&gt;0,D10,0)),0)</f>
        <v>0</v>
      </c>
      <c r="K20" s="38">
        <v>0.30499999999999999</v>
      </c>
      <c r="L20" s="64">
        <f t="shared" si="0"/>
        <v>0</v>
      </c>
      <c r="S20" s="38" t="s">
        <v>106</v>
      </c>
    </row>
    <row r="21" spans="2:19" s="38" customFormat="1" ht="20.100000000000001" customHeight="1" thickBot="1" x14ac:dyDescent="0.35">
      <c r="G21" s="35" t="s">
        <v>42</v>
      </c>
      <c r="H21" s="65" t="s">
        <v>43</v>
      </c>
      <c r="I21" s="8">
        <f>J7-20</f>
        <v>2535</v>
      </c>
      <c r="J21" s="9">
        <f>IF(J8&lt;1000,D10*2,D10*3)</f>
        <v>4</v>
      </c>
      <c r="K21" s="38">
        <v>0.41299999999999998</v>
      </c>
      <c r="L21" s="64">
        <f t="shared" si="0"/>
        <v>4.1878199999999994</v>
      </c>
      <c r="S21" s="38" t="s">
        <v>107</v>
      </c>
    </row>
    <row r="22" spans="2:19" s="38" customFormat="1" ht="20.100000000000001" customHeight="1" x14ac:dyDescent="0.3">
      <c r="B22" s="123" t="s">
        <v>59</v>
      </c>
      <c r="C22" s="124"/>
      <c r="G22" s="35" t="s">
        <v>44</v>
      </c>
      <c r="H22" s="67" t="s">
        <v>45</v>
      </c>
      <c r="I22" s="8">
        <f>IF(D15&lt;&gt;0,I18,0)</f>
        <v>0</v>
      </c>
      <c r="J22" s="9">
        <f>D15*D10</f>
        <v>0</v>
      </c>
      <c r="K22" s="38">
        <v>0.29499999999999998</v>
      </c>
      <c r="L22" s="64">
        <f t="shared" si="0"/>
        <v>0</v>
      </c>
    </row>
    <row r="23" spans="2:19" s="38" customFormat="1" ht="20.100000000000001" customHeight="1" thickBot="1" x14ac:dyDescent="0.35">
      <c r="B23" s="125" t="s">
        <v>29</v>
      </c>
      <c r="C23" s="126"/>
      <c r="G23" s="66" t="s">
        <v>46</v>
      </c>
      <c r="H23" s="63" t="s">
        <v>45</v>
      </c>
      <c r="I23" s="6">
        <f>IF(E17&lt;&gt;0,D17,0)</f>
        <v>0</v>
      </c>
      <c r="J23" s="9">
        <f>E17*D10</f>
        <v>0</v>
      </c>
      <c r="K23" s="38">
        <v>0.29499999999999998</v>
      </c>
      <c r="L23" s="64">
        <f t="shared" si="0"/>
        <v>0</v>
      </c>
    </row>
    <row r="24" spans="2:19" s="38" customFormat="1" ht="20.100000000000001" customHeight="1" x14ac:dyDescent="0.3">
      <c r="G24" s="66" t="s">
        <v>47</v>
      </c>
      <c r="H24" s="63" t="s">
        <v>48</v>
      </c>
      <c r="I24" s="6">
        <f>IF(OR(E17&lt;&gt;0,D15&lt;&gt;0),23,0)</f>
        <v>0</v>
      </c>
      <c r="J24" s="9">
        <f>(E17+D15)*2*D10</f>
        <v>0</v>
      </c>
      <c r="K24" s="38">
        <v>9.799999999999999E-2</v>
      </c>
      <c r="L24" s="64">
        <f t="shared" si="0"/>
        <v>0</v>
      </c>
    </row>
    <row r="25" spans="2:19" s="38" customFormat="1" ht="20.100000000000001" customHeight="1" x14ac:dyDescent="0.3">
      <c r="B25" s="108" t="s">
        <v>15</v>
      </c>
      <c r="C25" s="108"/>
      <c r="D25" s="108"/>
      <c r="E25" s="108"/>
      <c r="G25" s="99" t="s">
        <v>97</v>
      </c>
      <c r="H25" s="63" t="s">
        <v>49</v>
      </c>
      <c r="I25" s="23">
        <f>IF(AND(B23='Видимый верхний трек'!S10,OR(D13&lt;&gt;0,D14&lt;&gt;0,D15&lt;&gt;0)),150,0)</f>
        <v>0</v>
      </c>
      <c r="J25" s="21">
        <f>IF(B23=S10,(D13*2+J19+J20+J22)*2,0)</f>
        <v>0</v>
      </c>
      <c r="K25" s="38">
        <v>0.23499999999999996</v>
      </c>
      <c r="L25" s="64">
        <f t="shared" si="0"/>
        <v>0</v>
      </c>
    </row>
    <row r="26" spans="2:19" s="38" customFormat="1" ht="20.100000000000001" customHeight="1" thickBot="1" x14ac:dyDescent="0.35">
      <c r="G26" s="69" t="s">
        <v>97</v>
      </c>
      <c r="H26" s="67" t="s">
        <v>49</v>
      </c>
      <c r="I26" s="6">
        <f>IF(AND(B23='Видимый верхний трек'!S10,OR(D13&lt;&gt;0,D14&lt;&gt;0,D15&lt;&gt;0),J8&lt;1000),J8-45-300-80,0)</f>
        <v>0</v>
      </c>
      <c r="J26" s="24">
        <f>IF(AND(J8&lt;1000,B23=S10),(D14+D13+D15)*D10,0)</f>
        <v>0</v>
      </c>
      <c r="K26" s="38">
        <v>0.23499999999999996</v>
      </c>
      <c r="L26" s="64">
        <f t="shared" si="0"/>
        <v>0</v>
      </c>
    </row>
    <row r="27" spans="2:19" s="38" customFormat="1" ht="20.100000000000001" customHeight="1" thickBot="1" x14ac:dyDescent="0.35">
      <c r="B27" s="70" t="s">
        <v>90</v>
      </c>
      <c r="C27" s="71">
        <f>SUM(D13:E15)+1</f>
        <v>1</v>
      </c>
      <c r="D27" s="174" t="str">
        <f>IF(C27&gt;5,S37,S38)</f>
        <v xml:space="preserve"> </v>
      </c>
      <c r="E27" s="175"/>
      <c r="G27" s="69" t="s">
        <v>97</v>
      </c>
      <c r="H27" s="67" t="s">
        <v>49</v>
      </c>
      <c r="I27" s="6">
        <f>IF(AND(B23='Видимый верхний трек'!S10,OR(D13&lt;&gt;0,D14&lt;&gt;0,D15&lt;&gt;0),J8&gt;=1000),(J8-45-300-120)/2,0)</f>
        <v>0</v>
      </c>
      <c r="J27" s="24">
        <f>IF(AND(J8&gt;=1000,B23=S10),(D14+D13+D15)*D10*2,0)</f>
        <v>0</v>
      </c>
      <c r="K27" s="38">
        <v>0.23499999999999996</v>
      </c>
      <c r="L27" s="64">
        <f t="shared" si="0"/>
        <v>0</v>
      </c>
    </row>
    <row r="28" spans="2:19" s="38" customFormat="1" ht="20.100000000000001" customHeight="1" x14ac:dyDescent="0.3">
      <c r="G28" s="69" t="s">
        <v>83</v>
      </c>
      <c r="H28" s="67" t="s">
        <v>79</v>
      </c>
      <c r="I28" s="23">
        <f>IF(OR(C35=S16,AND(C31=S16,D35=0)),J12-2-75,0)</f>
        <v>820</v>
      </c>
      <c r="J28" s="24">
        <f>IF(I28=0,0,IF(AND(C35=S16,D35&lt;&gt;0),1,IF(C31=S16,1,0))*D10)</f>
        <v>2</v>
      </c>
      <c r="K28" s="38">
        <v>0.60799999999999998</v>
      </c>
      <c r="L28" s="64">
        <f t="shared" si="0"/>
        <v>0.99712000000000001</v>
      </c>
    </row>
    <row r="29" spans="2:19" s="38" customFormat="1" ht="20.100000000000001" customHeight="1" thickBot="1" x14ac:dyDescent="0.35">
      <c r="G29" s="69" t="s">
        <v>84</v>
      </c>
      <c r="H29" s="67" t="s">
        <v>78</v>
      </c>
      <c r="I29" s="23">
        <f>IF(OR(AND(C31=S16,D31&lt;&gt;0),AND(C32=S16,D32&lt;&gt;0),AND(C33=S16,D33&lt;&gt;0),AND(C34=S16,D34&lt;&gt;0),AND(C35=S16,D35&lt;&gt;0)),J12-2-75,0)</f>
        <v>820</v>
      </c>
      <c r="J29" s="24">
        <f>IF(I29&lt;&gt;0,(IF(AND(D35=0,C31=S16),1,IF(AND(D35&lt;&gt;0,C31=S16),2,0))+IF(AND(C31=S16,D31&gt;=1000,D31&lt;1500),1,0)+IF(AND(C31=S16,D31&gt;=1500,D31&lt;2000),2,0)+IF(AND(C31=S16,D31&gt;=2000),3,0)+IF(AND(D32&lt;&gt;0,C32=S16),2,0)+IF(AND(C32=S16,D32&gt;=1000,D32&lt;1500),1,0)+IF(AND(C32=S16,D32&gt;=1500,D32&lt;2000),2,0)+IF(AND(C32=S16,D32&gt;=2000),3,0)+IF(AND(D33&lt;&gt;0,C33=S16),2,0)+IF(AND(C33=S16,D33&gt;=1000,D33&lt;1500),1,0)+IF(AND(C33=S16,D33&gt;=1500,D33&lt;2000),2,0)+IF(AND(C33=S16,D33&gt;=2000),3,0)+IF(AND(D34&lt;&gt;0,C34=S16),2,0)+IF(AND(C34=S16,D34&gt;=1000,D34&lt;1500),1,0)+IF(AND(C34=S16,D34&gt;=1500,D34&lt;2000),2,0)+IF(AND(C34=S16,D34&gt;=2000),3,0)+IF(AND(D35&lt;&gt;0,C35=S16),1,0)+IF(AND(C35=S16,D35&gt;=1000,D35&lt;1500),1,0)+IF(AND(C35=S16,D35&gt;=1500,D35&lt;2000),2,0)+IF(AND(C35=S16,D35&gt;=2000),3,0))*D10,0)</f>
        <v>8</v>
      </c>
      <c r="K29" s="38">
        <v>0.30499999999999999</v>
      </c>
      <c r="L29" s="64">
        <f t="shared" si="0"/>
        <v>2.0007999999999999</v>
      </c>
    </row>
    <row r="30" spans="2:19" s="38" customFormat="1" ht="20.100000000000001" customHeight="1" x14ac:dyDescent="0.3">
      <c r="B30" s="73" t="s">
        <v>70</v>
      </c>
      <c r="C30" s="74" t="s">
        <v>74</v>
      </c>
      <c r="D30" s="74" t="s">
        <v>75</v>
      </c>
      <c r="E30" s="75" t="s">
        <v>76</v>
      </c>
      <c r="G30" s="69" t="s">
        <v>85</v>
      </c>
      <c r="H30" s="67" t="s">
        <v>78</v>
      </c>
      <c r="I30" s="23">
        <f>IF(C31=$S$16,D31,0)</f>
        <v>2548</v>
      </c>
      <c r="J30" s="24">
        <f>IF(I30&lt;&gt;0,IF(C31=$S$16,2,0)*D10,0)</f>
        <v>4</v>
      </c>
      <c r="K30" s="38">
        <v>0.30499999999999999</v>
      </c>
      <c r="L30" s="64">
        <f t="shared" si="0"/>
        <v>3.1085599999999998</v>
      </c>
    </row>
    <row r="31" spans="2:19" s="38" customFormat="1" ht="20.100000000000001" customHeight="1" x14ac:dyDescent="0.3">
      <c r="B31" s="35" t="s">
        <v>91</v>
      </c>
      <c r="C31" s="22" t="s">
        <v>81</v>
      </c>
      <c r="D31" s="26">
        <f>J11-SUM(D32:D35)</f>
        <v>2548</v>
      </c>
      <c r="E31" s="76">
        <f>IF(C31=$S$16,$J$12-2,$J$12)</f>
        <v>895</v>
      </c>
      <c r="F31" s="77">
        <f>IF(D31&lt;&gt;0,1,0)</f>
        <v>1</v>
      </c>
      <c r="G31" s="69" t="s">
        <v>86</v>
      </c>
      <c r="H31" s="67" t="s">
        <v>78</v>
      </c>
      <c r="I31" s="23">
        <f>IF(C32=$S$16,D32,0)</f>
        <v>0</v>
      </c>
      <c r="J31" s="24">
        <f>IF(I31&lt;&gt;0,IF(C32=$S$16,2,0)*D10,0)</f>
        <v>0</v>
      </c>
      <c r="K31" s="38">
        <v>0.30499999999999999</v>
      </c>
      <c r="L31" s="64">
        <f t="shared" si="0"/>
        <v>0</v>
      </c>
    </row>
    <row r="32" spans="2:19" s="38" customFormat="1" ht="20.100000000000001" customHeight="1" x14ac:dyDescent="0.3">
      <c r="B32" s="35" t="s">
        <v>71</v>
      </c>
      <c r="C32" s="22" t="s">
        <v>77</v>
      </c>
      <c r="D32" s="25">
        <v>0</v>
      </c>
      <c r="E32" s="76">
        <f t="shared" ref="E32:E35" si="1">IF(C32=$S$16,$J$12-2,$J$12)</f>
        <v>897</v>
      </c>
      <c r="F32" s="77">
        <f>IF(D32&lt;&gt;0,1,0)</f>
        <v>0</v>
      </c>
      <c r="G32" s="69" t="s">
        <v>87</v>
      </c>
      <c r="H32" s="67" t="s">
        <v>78</v>
      </c>
      <c r="I32" s="23">
        <f>IF(C33=$S$16,D33,0)</f>
        <v>0</v>
      </c>
      <c r="J32" s="24">
        <f>IF(I32&lt;&gt;0,IF(C33=$S$16,2,0)*D10,0)</f>
        <v>0</v>
      </c>
      <c r="K32" s="38">
        <v>0.30499999999999999</v>
      </c>
      <c r="L32" s="64">
        <f t="shared" si="0"/>
        <v>0</v>
      </c>
    </row>
    <row r="33" spans="2:19" s="38" customFormat="1" ht="20.100000000000001" customHeight="1" x14ac:dyDescent="0.3">
      <c r="B33" s="35" t="s">
        <v>72</v>
      </c>
      <c r="C33" s="22" t="s">
        <v>77</v>
      </c>
      <c r="D33" s="25">
        <v>0</v>
      </c>
      <c r="E33" s="76">
        <f t="shared" si="1"/>
        <v>897</v>
      </c>
      <c r="F33" s="77">
        <f>IF(D33&lt;&gt;0,1,0)</f>
        <v>0</v>
      </c>
      <c r="G33" s="69" t="s">
        <v>88</v>
      </c>
      <c r="H33" s="67" t="s">
        <v>78</v>
      </c>
      <c r="I33" s="23">
        <f>IF(C34=$S$16,D34,0)</f>
        <v>0</v>
      </c>
      <c r="J33" s="24">
        <f>IF(I33&lt;&gt;0,IF(C34=$S$16,2,0)*D10,0)</f>
        <v>0</v>
      </c>
      <c r="K33" s="38">
        <v>0.30499999999999999</v>
      </c>
      <c r="L33" s="64">
        <f t="shared" si="0"/>
        <v>0</v>
      </c>
      <c r="S33" s="38" t="s">
        <v>93</v>
      </c>
    </row>
    <row r="34" spans="2:19" s="38" customFormat="1" ht="20.100000000000001" customHeight="1" thickBot="1" x14ac:dyDescent="0.35">
      <c r="B34" s="35" t="s">
        <v>73</v>
      </c>
      <c r="C34" s="22" t="s">
        <v>77</v>
      </c>
      <c r="D34" s="25">
        <v>0</v>
      </c>
      <c r="E34" s="76">
        <f t="shared" si="1"/>
        <v>897</v>
      </c>
      <c r="F34" s="77">
        <f>IF(D34&lt;&gt;0,1,0)</f>
        <v>0</v>
      </c>
      <c r="G34" s="69" t="s">
        <v>89</v>
      </c>
      <c r="H34" s="67" t="s">
        <v>78</v>
      </c>
      <c r="I34" s="23">
        <f>IF(C35=$S$16,D35,0)</f>
        <v>0</v>
      </c>
      <c r="J34" s="24">
        <f>IF(I34&lt;&gt;0,IF(C35=$S$16,2,0)*D10,0)</f>
        <v>0</v>
      </c>
      <c r="K34" s="38">
        <v>0.30499999999999999</v>
      </c>
      <c r="L34" s="64">
        <f t="shared" si="0"/>
        <v>0</v>
      </c>
      <c r="S34" s="38" t="s">
        <v>94</v>
      </c>
    </row>
    <row r="35" spans="2:19" s="38" customFormat="1" ht="20.100000000000001" customHeight="1" thickBot="1" x14ac:dyDescent="0.3">
      <c r="B35" s="84" t="s">
        <v>92</v>
      </c>
      <c r="C35" s="27" t="s">
        <v>77</v>
      </c>
      <c r="D35" s="28">
        <v>0</v>
      </c>
      <c r="E35" s="85">
        <f t="shared" si="1"/>
        <v>897</v>
      </c>
      <c r="F35" s="77">
        <f>IF(D35&lt;&gt;0,1,0)</f>
        <v>0</v>
      </c>
      <c r="G35" s="109"/>
      <c r="H35" s="107"/>
      <c r="I35" s="31"/>
      <c r="J35" s="110"/>
      <c r="L35" s="82">
        <f>SUM(L15:L34)/D10</f>
        <v>7.7755109999999998</v>
      </c>
    </row>
    <row r="36" spans="2:19" s="38" customFormat="1" ht="20.100000000000001" customHeight="1" x14ac:dyDescent="0.25">
      <c r="G36" s="83" t="s">
        <v>8</v>
      </c>
      <c r="H36" s="111" t="s">
        <v>30</v>
      </c>
      <c r="I36" s="166" t="s">
        <v>4</v>
      </c>
      <c r="J36" s="167"/>
    </row>
    <row r="37" spans="2:19" s="38" customFormat="1" ht="20.100000000000001" customHeight="1" x14ac:dyDescent="0.25">
      <c r="C37" s="37" t="str">
        <f>IF((SUM(F31:F35)/C27)&lt;&gt;1,S33,S34)</f>
        <v>Верно внесены высоты вставок</v>
      </c>
      <c r="D37" s="47">
        <f>IF(C37=S34,1,0)</f>
        <v>1</v>
      </c>
      <c r="G37" s="35" t="s">
        <v>51</v>
      </c>
      <c r="H37" s="67" t="s">
        <v>52</v>
      </c>
      <c r="I37" s="168">
        <f>IF(J8&gt;=1000,D10*1.5,D10)</f>
        <v>2</v>
      </c>
      <c r="J37" s="170"/>
      <c r="L37" s="38">
        <f>IF(C31=$S$15,D31*E31/1000000*13,IF(C31=$S$16,D31*E31/1000000*11))</f>
        <v>25.085060000000002</v>
      </c>
      <c r="S37" s="38" t="s">
        <v>95</v>
      </c>
    </row>
    <row r="38" spans="2:19" s="38" customFormat="1" ht="20.100000000000001" customHeight="1" x14ac:dyDescent="0.25">
      <c r="G38" s="35" t="s">
        <v>116</v>
      </c>
      <c r="H38" s="36" t="s">
        <v>117</v>
      </c>
      <c r="I38" s="168">
        <f>IF(L45&lt;30,ROUNDUP(D12/2,0),0)</f>
        <v>0</v>
      </c>
      <c r="J38" s="169"/>
      <c r="L38" s="38">
        <f>IF(C32=$S$15,D32*E32/1000000*13,IF(C32=$S$16,D32*E32/1000000*11))</f>
        <v>0</v>
      </c>
      <c r="S38" s="38" t="s">
        <v>16</v>
      </c>
    </row>
    <row r="39" spans="2:19" s="38" customFormat="1" ht="20.100000000000001" customHeight="1" x14ac:dyDescent="0.25">
      <c r="C39" s="173" t="str">
        <f>IF(OR(AND(C31=S16,D31&lt;130,D31&lt;&gt;0),AND(C32=S16,D32&lt;130,D32&lt;&gt;0),AND(C33=S16,D33&lt;130,D33&lt;&gt;0),AND(C34=S16,D34&lt;130,D34&lt;&gt;0),AND(C35=S16,D35&lt;130,D35&lt;&gt;0)),S39,S40)</f>
        <v xml:space="preserve"> </v>
      </c>
      <c r="D39" s="173"/>
      <c r="G39" s="35" t="s">
        <v>116</v>
      </c>
      <c r="H39" s="36" t="s">
        <v>118</v>
      </c>
      <c r="I39" s="168">
        <f>IF(AND(L45&gt;=30,L45&lt;50),ROUNDUP(D12/2,0),0)</f>
        <v>0</v>
      </c>
      <c r="J39" s="169"/>
      <c r="L39" s="38">
        <f>IF(C33=$S$15,D33*E33/1000000*13,IF(C33=$S$16,D33*E33/1000000*11))</f>
        <v>0</v>
      </c>
      <c r="S39" s="38" t="s">
        <v>96</v>
      </c>
    </row>
    <row r="40" spans="2:19" s="38" customFormat="1" ht="20.100000000000001" customHeight="1" x14ac:dyDescent="0.25">
      <c r="G40" s="35" t="s">
        <v>116</v>
      </c>
      <c r="H40" s="36" t="s">
        <v>119</v>
      </c>
      <c r="I40" s="168">
        <f>IF(AND(L42&gt;=50,L42&lt;70),ROUNDUP(D12/2,0),0)</f>
        <v>0</v>
      </c>
      <c r="J40" s="169"/>
      <c r="L40" s="38">
        <f>IF(C34=$S$15,D34*E34/1000000*13,IF(C34=$S$16,D34*E34/1000000*11))</f>
        <v>0</v>
      </c>
      <c r="S40" s="38" t="s">
        <v>16</v>
      </c>
    </row>
    <row r="41" spans="2:19" ht="20.100000000000001" customHeight="1" thickBot="1" x14ac:dyDescent="0.35">
      <c r="B41" s="38"/>
      <c r="C41" s="173" t="str">
        <f>IF(AND(SUM(F31:F35)/C27=1,D35=0,C27&lt;&gt;1),S52,S53)</f>
        <v xml:space="preserve"> </v>
      </c>
      <c r="D41" s="173"/>
      <c r="E41" s="38"/>
      <c r="F41" s="38"/>
      <c r="G41" s="35" t="s">
        <v>53</v>
      </c>
      <c r="H41" s="67" t="s">
        <v>54</v>
      </c>
      <c r="I41" s="133">
        <f>D16*D10</f>
        <v>0</v>
      </c>
      <c r="J41" s="134"/>
      <c r="K41" s="97"/>
      <c r="L41" s="38">
        <f>IF(C35=$S$15,D35*E35/1000000*13,IF(C35=$S$16,D35*E35/1000000*11))</f>
        <v>0</v>
      </c>
    </row>
    <row r="42" spans="2:19" ht="20.100000000000001" customHeight="1" thickBot="1" x14ac:dyDescent="0.35">
      <c r="B42" s="38"/>
      <c r="C42" s="38"/>
      <c r="D42" s="38"/>
      <c r="E42" s="38"/>
      <c r="F42" s="38"/>
      <c r="G42" s="35" t="s">
        <v>137</v>
      </c>
      <c r="H42" s="67" t="s">
        <v>55</v>
      </c>
      <c r="I42" s="133">
        <f>D10*2-D12</f>
        <v>4</v>
      </c>
      <c r="J42" s="139"/>
      <c r="L42" s="86">
        <f>SUM(L37:L41)</f>
        <v>25.085060000000002</v>
      </c>
    </row>
    <row r="43" spans="2:19" ht="21" customHeight="1" x14ac:dyDescent="0.3">
      <c r="B43" s="38"/>
      <c r="C43" s="38"/>
      <c r="D43" s="38"/>
      <c r="E43" s="38"/>
      <c r="F43" s="38"/>
      <c r="G43" s="35" t="s">
        <v>22</v>
      </c>
      <c r="H43" s="33" t="s">
        <v>113</v>
      </c>
      <c r="I43" s="137">
        <f>CEILING(J17*J7/1000,1)</f>
        <v>11</v>
      </c>
      <c r="J43" s="138"/>
    </row>
    <row r="44" spans="2:19" ht="21" customHeight="1" thickBot="1" x14ac:dyDescent="0.35">
      <c r="F44" s="38"/>
      <c r="G44" s="35" t="s">
        <v>120</v>
      </c>
      <c r="H44" s="33" t="s">
        <v>113</v>
      </c>
      <c r="I44" s="137">
        <f>IF(D19=S57,CEILING(J17*J7/1000,1),0)</f>
        <v>11</v>
      </c>
      <c r="J44" s="138"/>
    </row>
    <row r="45" spans="2:19" ht="21" customHeight="1" thickBot="1" x14ac:dyDescent="0.35">
      <c r="F45" s="38"/>
      <c r="G45" s="35" t="s">
        <v>108</v>
      </c>
      <c r="H45" s="67" t="s">
        <v>121</v>
      </c>
      <c r="I45" s="137">
        <f>IF(D19=S58,CEILING(J17*J7/1000,1),0)</f>
        <v>0</v>
      </c>
      <c r="J45" s="165"/>
      <c r="L45" s="90">
        <f>(L35+L42)*1.05</f>
        <v>34.503599550000004</v>
      </c>
      <c r="S45" s="91" t="s">
        <v>98</v>
      </c>
    </row>
    <row r="46" spans="2:19" ht="21" customHeight="1" x14ac:dyDescent="0.3">
      <c r="F46" s="38"/>
      <c r="G46" s="35" t="s">
        <v>9</v>
      </c>
      <c r="H46" s="67" t="s">
        <v>56</v>
      </c>
      <c r="I46" s="137">
        <f>IF(D18=S20,CEILING((I16+40)*2/1000,1),0)</f>
        <v>4</v>
      </c>
      <c r="J46" s="138"/>
      <c r="S46" s="91" t="s">
        <v>99</v>
      </c>
    </row>
    <row r="47" spans="2:19" ht="20.100000000000001" customHeight="1" x14ac:dyDescent="0.3">
      <c r="F47" s="38"/>
      <c r="G47" s="95" t="s">
        <v>29</v>
      </c>
      <c r="H47" s="67" t="s">
        <v>50</v>
      </c>
      <c r="I47" s="140">
        <f>IF(B23=S11,ROUND((D16+E17)*D10*4+(J8/300+1)*((D15+D14+D13)*2),1),0)</f>
        <v>0</v>
      </c>
      <c r="J47" s="142"/>
      <c r="S47" s="91" t="s">
        <v>100</v>
      </c>
    </row>
    <row r="48" spans="2:19" ht="20.100000000000001" customHeight="1" x14ac:dyDescent="0.3">
      <c r="F48" s="38"/>
      <c r="G48" s="95" t="s">
        <v>80</v>
      </c>
      <c r="H48" s="67" t="s">
        <v>82</v>
      </c>
      <c r="I48" s="140">
        <f>J28*4+J29*2</f>
        <v>24</v>
      </c>
      <c r="J48" s="142"/>
      <c r="S48" s="91" t="s">
        <v>101</v>
      </c>
    </row>
    <row r="49" spans="2:19" ht="20.100000000000001" customHeight="1" x14ac:dyDescent="0.3">
      <c r="B49" s="38"/>
      <c r="D49" s="38"/>
      <c r="E49" s="38"/>
      <c r="F49" s="38"/>
      <c r="G49" s="96" t="s">
        <v>109</v>
      </c>
      <c r="H49" s="67" t="s">
        <v>105</v>
      </c>
      <c r="I49" s="143">
        <f>CEILING(SUM(I30*J30,I31*J31,I32*J32,I33*J33,I34*J34)/1000,1)</f>
        <v>11</v>
      </c>
      <c r="J49" s="144"/>
      <c r="S49" s="91" t="s">
        <v>102</v>
      </c>
    </row>
    <row r="50" spans="2:19" ht="20.100000000000001" customHeight="1" x14ac:dyDescent="0.3">
      <c r="B50" s="122" t="s">
        <v>111</v>
      </c>
      <c r="C50" s="38"/>
      <c r="D50" s="38"/>
      <c r="E50" s="38"/>
      <c r="F50" s="38"/>
      <c r="G50" s="35" t="s">
        <v>129</v>
      </c>
      <c r="H50" s="36" t="s">
        <v>130</v>
      </c>
      <c r="I50" s="133">
        <f>IF(D20=S20,D11,0)</f>
        <v>0</v>
      </c>
      <c r="J50" s="145"/>
    </row>
    <row r="51" spans="2:19" ht="20.100000000000001" customHeight="1" x14ac:dyDescent="0.3">
      <c r="B51" s="122"/>
      <c r="C51" s="38"/>
      <c r="D51" s="38"/>
      <c r="E51" s="38"/>
      <c r="F51" s="38"/>
      <c r="G51" s="35" t="s">
        <v>66</v>
      </c>
      <c r="H51" s="67"/>
      <c r="I51" s="133">
        <f>I18*J18/250</f>
        <v>14.256</v>
      </c>
      <c r="J51" s="139"/>
      <c r="S51" s="97"/>
    </row>
    <row r="52" spans="2:19" ht="20.100000000000001" customHeight="1" x14ac:dyDescent="0.3">
      <c r="B52" s="122"/>
      <c r="C52" s="38"/>
      <c r="D52" s="38"/>
      <c r="E52" s="38"/>
      <c r="F52" s="38"/>
      <c r="G52" s="69" t="s">
        <v>67</v>
      </c>
      <c r="H52" s="67"/>
      <c r="I52" s="140">
        <f>IF(C31=S15,(D31/250)*2*D10+IF(D35&lt;&gt;0,(E31/250)*D10,0)+I37*4+(D31/300)*2*J21,0)+IF(AND(C32=S15,D32&lt;&gt;0),(D32/250)*2*D10+(E32/250)*D10*2+(D32/300)*2*J21,0)+IF(AND(C33=S15,D33&lt;&gt;0),(D33/250)*2*D10+(E33/250)*D10*2+(D33/300)*2*J21,0)+IF(AND(C34=S15,D34&lt;&gt;0),(D34/250)*2*D10+(E34/250)*D10*2+(D34/300)*2*J21,0)+IF(AND(C35=S15,D35&lt;&gt;0),(D35/250)*2*D10+(E35/250)*D10*2+(D35/300)*2*J21+I37*8,0)+I19*J19/250+I20*J20/250</f>
        <v>0</v>
      </c>
      <c r="J52" s="141"/>
      <c r="S52" s="41" t="s">
        <v>110</v>
      </c>
    </row>
    <row r="53" spans="2:19" x14ac:dyDescent="0.3">
      <c r="C53" s="38"/>
      <c r="D53" s="38"/>
      <c r="E53" s="38"/>
      <c r="F53" s="38"/>
      <c r="G53" s="35" t="s">
        <v>68</v>
      </c>
      <c r="H53" s="67"/>
      <c r="I53" s="133">
        <f>J24*2</f>
        <v>0</v>
      </c>
      <c r="J53" s="134"/>
      <c r="S53" s="41" t="s">
        <v>16</v>
      </c>
    </row>
    <row r="54" spans="2:19" ht="19.5" thickBot="1" x14ac:dyDescent="0.35">
      <c r="C54" s="112"/>
      <c r="D54" s="112"/>
      <c r="E54" s="41"/>
      <c r="G54" s="42" t="s">
        <v>69</v>
      </c>
      <c r="H54" s="113"/>
      <c r="I54" s="135">
        <f>(J23*2+I22*J22/250+D16*2*D10)+IF(C31=S16,(D31/250)*2*D10+IF(D35&lt;&gt;0,(E31/250)*D10,0)+I37*4+(D31/300)*2*J21,0)+IF(AND(C32=S16,D32&lt;&gt;0),(D32/250)*2*D10+(E32/250)*D10*2+(D32/300)*2*J21,0)+IF(AND(C33=S16,D33&lt;&gt;0),(D33/250)*2*D10+(E33/250)*D10*2+(D33/300)*2*J21,0)+IF(AND(C34=S16,D34&lt;&gt;0),(D34/250)*2*D10+(E34/250)*D10*2+(D34/300)*2*J21,0)+IF(AND(C35=S16,D35&lt;&gt;0),(D35/250)*2*D10+(E35/250)*D10*2+(D35/300)*2*J21+I37*8,0)</f>
        <v>116.71466666666667</v>
      </c>
      <c r="J54" s="136"/>
    </row>
    <row r="55" spans="2:19" ht="21.75" thickBot="1" x14ac:dyDescent="0.4">
      <c r="G55" s="114"/>
      <c r="H55" s="114"/>
      <c r="I55" s="114"/>
    </row>
    <row r="56" spans="2:19" ht="19.5" thickBot="1" x14ac:dyDescent="0.35">
      <c r="D56" s="39" t="s">
        <v>122</v>
      </c>
      <c r="E56" s="40">
        <f>ROUNDUP(L45,0)</f>
        <v>35</v>
      </c>
      <c r="F56" s="50"/>
      <c r="G56" s="41" t="s">
        <v>123</v>
      </c>
      <c r="J56" s="115" t="s">
        <v>28</v>
      </c>
      <c r="S56" s="41" t="s">
        <v>107</v>
      </c>
    </row>
    <row r="57" spans="2:19" x14ac:dyDescent="0.3">
      <c r="S57" s="41" t="s">
        <v>114</v>
      </c>
    </row>
    <row r="58" spans="2:19" x14ac:dyDescent="0.3">
      <c r="S58" s="41" t="s">
        <v>115</v>
      </c>
    </row>
  </sheetData>
  <sheetProtection algorithmName="SHA-512" hashValue="Eyyrv4PDGqrKEFw/0v7FPBPHADiBbpGmYdEuxa7ZbRoz2LGW1x78irNiDfVmGAoBs0/gBuKyzEHWnuDqkTR4sQ==" saltValue="Yv5WFmddLA6KNykmkN0/GQ==" spinCount="100000" sheet="1" objects="1" scenarios="1" selectLockedCells="1"/>
  <mergeCells count="57">
    <mergeCell ref="I41:J41"/>
    <mergeCell ref="I45:J45"/>
    <mergeCell ref="D15:E15"/>
    <mergeCell ref="D13:E13"/>
    <mergeCell ref="I36:J36"/>
    <mergeCell ref="D14:E14"/>
    <mergeCell ref="D16:E16"/>
    <mergeCell ref="I38:J38"/>
    <mergeCell ref="I37:J37"/>
    <mergeCell ref="I42:J42"/>
    <mergeCell ref="D19:E19"/>
    <mergeCell ref="C39:D39"/>
    <mergeCell ref="C41:D41"/>
    <mergeCell ref="D27:E27"/>
    <mergeCell ref="I39:J39"/>
    <mergeCell ref="I40:J40"/>
    <mergeCell ref="B2:J3"/>
    <mergeCell ref="B5:E5"/>
    <mergeCell ref="D12:E12"/>
    <mergeCell ref="G7:H8"/>
    <mergeCell ref="G11:H12"/>
    <mergeCell ref="G5:J5"/>
    <mergeCell ref="B7:C7"/>
    <mergeCell ref="B8:C8"/>
    <mergeCell ref="B10:C10"/>
    <mergeCell ref="D7:E7"/>
    <mergeCell ref="D8:E8"/>
    <mergeCell ref="D10:E10"/>
    <mergeCell ref="B9:C9"/>
    <mergeCell ref="D9:E9"/>
    <mergeCell ref="D11:E11"/>
    <mergeCell ref="B11:C11"/>
    <mergeCell ref="I53:J53"/>
    <mergeCell ref="I54:J54"/>
    <mergeCell ref="I43:J43"/>
    <mergeCell ref="I46:J46"/>
    <mergeCell ref="I51:J51"/>
    <mergeCell ref="I52:J52"/>
    <mergeCell ref="I48:J48"/>
    <mergeCell ref="I47:J47"/>
    <mergeCell ref="I49:J49"/>
    <mergeCell ref="I44:J44"/>
    <mergeCell ref="I50:J50"/>
    <mergeCell ref="B12:C12"/>
    <mergeCell ref="B13:C13"/>
    <mergeCell ref="B14:C14"/>
    <mergeCell ref="B15:C15"/>
    <mergeCell ref="B19:C19"/>
    <mergeCell ref="B16:C16"/>
    <mergeCell ref="B17:C17"/>
    <mergeCell ref="B18:C18"/>
    <mergeCell ref="D18:E18"/>
    <mergeCell ref="B20:C20"/>
    <mergeCell ref="D20:E20"/>
    <mergeCell ref="B50:B52"/>
    <mergeCell ref="B22:C22"/>
    <mergeCell ref="B23:C23"/>
  </mergeCells>
  <conditionalFormatting sqref="C37">
    <cfRule type="expression" dxfId="19" priority="6">
      <formula>$C$37=$S$33</formula>
    </cfRule>
    <cfRule type="expression" dxfId="18" priority="7">
      <formula>$C$37=$S$34</formula>
    </cfRule>
  </conditionalFormatting>
  <conditionalFormatting sqref="D27">
    <cfRule type="expression" dxfId="17" priority="4">
      <formula>$D$27=$S$37</formula>
    </cfRule>
  </conditionalFormatting>
  <conditionalFormatting sqref="C39">
    <cfRule type="expression" dxfId="16" priority="3">
      <formula>$C$39=$S$39</formula>
    </cfRule>
  </conditionalFormatting>
  <conditionalFormatting sqref="C41">
    <cfRule type="expression" dxfId="15" priority="2">
      <formula>$C$41=$S$52</formula>
    </cfRule>
  </conditionalFormatting>
  <conditionalFormatting sqref="D12:E12">
    <cfRule type="expression" dxfId="14" priority="1">
      <formula>$D$12&gt;$D$10*2</formula>
    </cfRule>
  </conditionalFormatting>
  <dataValidations count="10">
    <dataValidation type="whole" allowBlank="1" showInputMessage="1" showErrorMessage="1" sqref="D11:E11">
      <formula1>1</formula1>
      <formula2>4</formula2>
    </dataValidation>
    <dataValidation type="whole" allowBlank="1" showInputMessage="1" showErrorMessage="1" sqref="E17">
      <formula1>0</formula1>
      <formula2>2</formula2>
    </dataValidation>
    <dataValidation type="whole" allowBlank="1" showInputMessage="1" showErrorMessage="1" sqref="D10:E10">
      <formula1>1</formula1>
      <formula2>5</formula2>
    </dataValidation>
    <dataValidation type="whole" operator="greaterThan" allowBlank="1" showInputMessage="1" showErrorMessage="1" sqref="D13:D16 E13:E14">
      <formula1>-1</formula1>
    </dataValidation>
    <dataValidation type="whole" allowBlank="1" showInputMessage="1" showErrorMessage="1" errorTitle="Неверное количество" error="Не более двух доводчиков на одну дверь." sqref="D12:E12">
      <formula1>0</formula1>
      <formula2>D10*2</formula2>
    </dataValidation>
    <dataValidation type="list" allowBlank="1" showInputMessage="1" showErrorMessage="1" sqref="B23">
      <formula1>$S$10:$S$11</formula1>
    </dataValidation>
    <dataValidation type="list" allowBlank="1" showInputMessage="1" showErrorMessage="1" sqref="C31:C35">
      <formula1>$S$15:$S$16</formula1>
    </dataValidation>
    <dataValidation type="list" allowBlank="1" showInputMessage="1" showErrorMessage="1" sqref="D9:E9">
      <formula1>$S$45:$S$49</formula1>
    </dataValidation>
    <dataValidation type="list" allowBlank="1" showInputMessage="1" showErrorMessage="1" sqref="D19:E19">
      <formula1>$S$56:$S$58</formula1>
    </dataValidation>
    <dataValidation type="list" allowBlank="1" showInputMessage="1" showErrorMessage="1" sqref="D18:E18 D20:E20">
      <formula1>$S$20:$S$21</formula1>
    </dataValidation>
  </dataValidations>
  <hyperlinks>
    <hyperlink ref="J56" location="Оглавление!A1" display="оглавление"/>
  </hyperlinks>
  <printOptions horizontalCentered="1"/>
  <pageMargins left="0.39370078740157483" right="0.39370078740157483" top="0.39370078740157483" bottom="0.39370078740157483" header="0" footer="0"/>
  <pageSetup paperSize="9" scale="61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CDD4A46-F2CB-4356-B607-A4ABC54B7586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D37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78"/>
  <sheetViews>
    <sheetView zoomScale="70" zoomScaleNormal="70" workbookViewId="0">
      <selection activeCell="D7" sqref="D7:E7"/>
    </sheetView>
  </sheetViews>
  <sheetFormatPr defaultColWidth="9.140625" defaultRowHeight="18.75" x14ac:dyDescent="0.3"/>
  <cols>
    <col min="1" max="1" width="4.7109375" style="41" customWidth="1"/>
    <col min="2" max="3" width="43.7109375" style="41" customWidth="1"/>
    <col min="4" max="5" width="14.7109375" style="47" customWidth="1"/>
    <col min="6" max="6" width="3.7109375" style="41" customWidth="1"/>
    <col min="7" max="7" width="79.7109375" style="41" customWidth="1"/>
    <col min="8" max="8" width="20.7109375" style="41" customWidth="1"/>
    <col min="9" max="10" width="17.7109375" style="41" customWidth="1"/>
    <col min="11" max="12" width="9.140625" style="41" hidden="1" customWidth="1"/>
    <col min="13" max="23" width="9.140625" style="41"/>
    <col min="24" max="24" width="48.5703125" style="41" hidden="1" customWidth="1"/>
    <col min="25" max="16384" width="9.140625" style="41"/>
  </cols>
  <sheetData>
    <row r="1" spans="2:24" x14ac:dyDescent="0.3">
      <c r="C1" s="46"/>
    </row>
    <row r="2" spans="2:24" s="38" customFormat="1" ht="27.6" customHeight="1" x14ac:dyDescent="0.25">
      <c r="B2" s="180" t="s">
        <v>14</v>
      </c>
      <c r="C2" s="180"/>
      <c r="D2" s="180"/>
      <c r="E2" s="180"/>
      <c r="F2" s="180"/>
      <c r="G2" s="180"/>
      <c r="H2" s="180"/>
      <c r="I2" s="180"/>
      <c r="J2" s="180"/>
    </row>
    <row r="3" spans="2:24" s="48" customFormat="1" ht="26.1" customHeight="1" x14ac:dyDescent="0.25">
      <c r="B3" s="180"/>
      <c r="C3" s="180"/>
      <c r="D3" s="180"/>
      <c r="E3" s="180"/>
      <c r="F3" s="180"/>
      <c r="G3" s="180"/>
      <c r="H3" s="180"/>
      <c r="I3" s="180"/>
      <c r="J3" s="180"/>
    </row>
    <row r="4" spans="2:24" s="48" customFormat="1" ht="20.100000000000001" customHeight="1" x14ac:dyDescent="0.3">
      <c r="C4" s="49"/>
      <c r="D4" s="49"/>
      <c r="E4" s="49"/>
      <c r="G4" s="50"/>
      <c r="H4" s="50"/>
      <c r="I4" s="50"/>
      <c r="J4" s="50"/>
    </row>
    <row r="5" spans="2:24" s="48" customFormat="1" ht="20.100000000000001" customHeight="1" x14ac:dyDescent="0.25">
      <c r="B5" s="147" t="s">
        <v>11</v>
      </c>
      <c r="C5" s="147"/>
      <c r="D5" s="147"/>
      <c r="E5" s="147"/>
      <c r="G5" s="147" t="s">
        <v>10</v>
      </c>
      <c r="H5" s="147"/>
      <c r="I5" s="147"/>
      <c r="J5" s="147"/>
    </row>
    <row r="6" spans="2:24" s="48" customFormat="1" ht="20.100000000000001" customHeight="1" thickBot="1" x14ac:dyDescent="0.3">
      <c r="C6" s="51"/>
      <c r="D6" s="51"/>
      <c r="E6" s="51"/>
      <c r="G6" s="51"/>
      <c r="H6" s="51"/>
      <c r="I6" s="51"/>
      <c r="J6" s="51"/>
      <c r="X6" s="38"/>
    </row>
    <row r="7" spans="2:24" s="38" customFormat="1" ht="20.100000000000001" customHeight="1" x14ac:dyDescent="0.25">
      <c r="B7" s="181" t="s">
        <v>19</v>
      </c>
      <c r="C7" s="187"/>
      <c r="D7" s="159">
        <v>2600</v>
      </c>
      <c r="E7" s="160"/>
      <c r="G7" s="150" t="s">
        <v>7</v>
      </c>
      <c r="H7" s="151"/>
      <c r="I7" s="52" t="s">
        <v>5</v>
      </c>
      <c r="J7" s="1">
        <f>D7-10+16</f>
        <v>2606</v>
      </c>
    </row>
    <row r="8" spans="2:24" s="38" customFormat="1" ht="20.100000000000001" customHeight="1" thickBot="1" x14ac:dyDescent="0.3">
      <c r="B8" s="131" t="s">
        <v>17</v>
      </c>
      <c r="C8" s="132"/>
      <c r="D8" s="161">
        <v>1800</v>
      </c>
      <c r="E8" s="162"/>
      <c r="G8" s="152"/>
      <c r="H8" s="153"/>
      <c r="I8" s="53" t="s">
        <v>6</v>
      </c>
      <c r="J8" s="2">
        <f>ROUNDUP(IF(D9=X48,(D8+D11*12)/D10,(D8+D11*12)/D10),0)</f>
        <v>906</v>
      </c>
    </row>
    <row r="9" spans="2:24" s="38" customFormat="1" ht="20.100000000000001" customHeight="1" x14ac:dyDescent="0.25">
      <c r="B9" s="127" t="s">
        <v>103</v>
      </c>
      <c r="C9" s="128"/>
      <c r="D9" s="161" t="s">
        <v>98</v>
      </c>
      <c r="E9" s="162"/>
      <c r="G9" s="54"/>
      <c r="H9" s="54"/>
      <c r="I9" s="55"/>
      <c r="J9" s="31"/>
    </row>
    <row r="10" spans="2:24" s="38" customFormat="1" ht="20.100000000000001" customHeight="1" thickBot="1" x14ac:dyDescent="0.3">
      <c r="B10" s="131" t="s">
        <v>1</v>
      </c>
      <c r="C10" s="132"/>
      <c r="D10" s="163">
        <f>IF(D9=X45,2,IF(D9=X46,3,IF(D9=X47,4,IF(D9=X48,4,IF(D9=X49,5)))))</f>
        <v>2</v>
      </c>
      <c r="E10" s="164"/>
      <c r="G10" s="54"/>
      <c r="H10" s="54"/>
      <c r="I10" s="55"/>
      <c r="J10" s="3"/>
      <c r="X10" s="38" t="s">
        <v>97</v>
      </c>
    </row>
    <row r="11" spans="2:24" s="38" customFormat="1" ht="20.100000000000001" customHeight="1" x14ac:dyDescent="0.3">
      <c r="B11" s="131" t="s">
        <v>134</v>
      </c>
      <c r="C11" s="132"/>
      <c r="D11" s="163">
        <f>IF(D9='Видимый верхний трек'!S45,1,IF(D9='Видимый верхний трек'!S46,2,IF(D9='Видимый верхний трек'!S47,3,IF(D9='Видимый верхний трек'!S48,2,IF(D9='Видимый верхний трек'!S49,4)))))</f>
        <v>1</v>
      </c>
      <c r="E11" s="164"/>
      <c r="G11" s="154" t="s">
        <v>104</v>
      </c>
      <c r="H11" s="155"/>
      <c r="I11" s="56" t="s">
        <v>12</v>
      </c>
      <c r="J11" s="1">
        <f>ROUNDDOWN(J7-1.6*D14-26*D15-3.5*2-D16*26,0)</f>
        <v>2599</v>
      </c>
      <c r="X11" s="38" t="s">
        <v>29</v>
      </c>
    </row>
    <row r="12" spans="2:24" s="38" customFormat="1" ht="20.100000000000001" customHeight="1" thickBot="1" x14ac:dyDescent="0.3">
      <c r="B12" s="201" t="s">
        <v>132</v>
      </c>
      <c r="C12" s="202"/>
      <c r="D12" s="148">
        <v>0</v>
      </c>
      <c r="E12" s="149"/>
      <c r="G12" s="156"/>
      <c r="H12" s="157"/>
      <c r="I12" s="53" t="s">
        <v>6</v>
      </c>
      <c r="J12" s="2">
        <f>J8-4</f>
        <v>902</v>
      </c>
    </row>
    <row r="13" spans="2:24" s="38" customFormat="1" ht="20.100000000000001" customHeight="1" thickBot="1" x14ac:dyDescent="0.3">
      <c r="B13" s="188" t="s">
        <v>133</v>
      </c>
      <c r="C13" s="189"/>
      <c r="D13" s="148">
        <v>0</v>
      </c>
      <c r="E13" s="149"/>
      <c r="G13" s="54"/>
      <c r="H13" s="54"/>
      <c r="I13" s="57"/>
      <c r="J13" s="58"/>
    </row>
    <row r="14" spans="2:24" s="38" customFormat="1" ht="20.100000000000001" customHeight="1" x14ac:dyDescent="0.25">
      <c r="B14" s="185" t="s">
        <v>24</v>
      </c>
      <c r="C14" s="186"/>
      <c r="D14" s="148">
        <v>0</v>
      </c>
      <c r="E14" s="149"/>
      <c r="G14" s="59" t="s">
        <v>2</v>
      </c>
      <c r="H14" s="60" t="s">
        <v>30</v>
      </c>
      <c r="I14" s="52" t="s">
        <v>3</v>
      </c>
      <c r="J14" s="61" t="s">
        <v>4</v>
      </c>
    </row>
    <row r="15" spans="2:24" s="38" customFormat="1" ht="20.100000000000001" customHeight="1" x14ac:dyDescent="0.3">
      <c r="B15" s="185" t="s">
        <v>25</v>
      </c>
      <c r="C15" s="186"/>
      <c r="D15" s="148">
        <v>0</v>
      </c>
      <c r="E15" s="149"/>
      <c r="G15" s="62" t="s">
        <v>31</v>
      </c>
      <c r="H15" s="63" t="s">
        <v>32</v>
      </c>
      <c r="I15" s="10">
        <f>D8-2-32</f>
        <v>1766</v>
      </c>
      <c r="J15" s="5">
        <v>1</v>
      </c>
      <c r="K15" s="38">
        <v>0.75800000000000001</v>
      </c>
      <c r="L15" s="64">
        <f>I15*K15*J15/1000</f>
        <v>1.3386279999999999</v>
      </c>
      <c r="X15" s="38" t="s">
        <v>77</v>
      </c>
    </row>
    <row r="16" spans="2:24" s="38" customFormat="1" ht="20.100000000000001" customHeight="1" x14ac:dyDescent="0.3">
      <c r="B16" s="185" t="s">
        <v>26</v>
      </c>
      <c r="C16" s="186"/>
      <c r="D16" s="148">
        <v>0</v>
      </c>
      <c r="E16" s="149"/>
      <c r="G16" s="62" t="s">
        <v>33</v>
      </c>
      <c r="H16" s="63" t="s">
        <v>34</v>
      </c>
      <c r="I16" s="10">
        <f>D8-2</f>
        <v>1798</v>
      </c>
      <c r="J16" s="5">
        <v>1</v>
      </c>
      <c r="K16" s="38">
        <v>0.33700000000000002</v>
      </c>
      <c r="L16" s="64">
        <f t="shared" ref="L16:L34" si="0">I16*K16*J16/1000</f>
        <v>0.60592600000000008</v>
      </c>
      <c r="X16" s="38" t="s">
        <v>81</v>
      </c>
    </row>
    <row r="17" spans="2:24" s="38" customFormat="1" ht="20.100000000000001" customHeight="1" x14ac:dyDescent="0.3">
      <c r="B17" s="185" t="s">
        <v>23</v>
      </c>
      <c r="C17" s="186"/>
      <c r="D17" s="148">
        <v>0</v>
      </c>
      <c r="E17" s="149"/>
      <c r="G17" s="35" t="s">
        <v>35</v>
      </c>
      <c r="H17" s="63" t="s">
        <v>36</v>
      </c>
      <c r="I17" s="6">
        <f>J7</f>
        <v>2606</v>
      </c>
      <c r="J17" s="7">
        <f>D10*2</f>
        <v>4</v>
      </c>
      <c r="K17" s="38">
        <v>0.29799999999999999</v>
      </c>
      <c r="L17" s="64">
        <f t="shared" si="0"/>
        <v>3.1063519999999998</v>
      </c>
    </row>
    <row r="18" spans="2:24" s="38" customFormat="1" ht="20.100000000000001" customHeight="1" x14ac:dyDescent="0.3">
      <c r="B18" s="131" t="s">
        <v>27</v>
      </c>
      <c r="C18" s="132"/>
      <c r="D18" s="32">
        <v>140</v>
      </c>
      <c r="E18" s="34">
        <v>0</v>
      </c>
      <c r="G18" s="35" t="s">
        <v>37</v>
      </c>
      <c r="H18" s="63" t="s">
        <v>38</v>
      </c>
      <c r="I18" s="6">
        <f>J8-2*5</f>
        <v>896</v>
      </c>
      <c r="J18" s="7">
        <f>(D14+2)*D10</f>
        <v>4</v>
      </c>
      <c r="K18" s="38">
        <v>6.8000000000000005E-2</v>
      </c>
      <c r="L18" s="64">
        <f t="shared" si="0"/>
        <v>0.24371200000000001</v>
      </c>
    </row>
    <row r="19" spans="2:24" s="38" customFormat="1" ht="20.100000000000001" customHeight="1" x14ac:dyDescent="0.3">
      <c r="B19" s="131" t="s">
        <v>9</v>
      </c>
      <c r="C19" s="132"/>
      <c r="D19" s="116" t="s">
        <v>107</v>
      </c>
      <c r="E19" s="117"/>
      <c r="G19" s="35" t="s">
        <v>39</v>
      </c>
      <c r="H19" s="65" t="s">
        <v>40</v>
      </c>
      <c r="I19" s="6">
        <f>IF(J19&lt;&gt;0,I18,0)</f>
        <v>0</v>
      </c>
      <c r="J19" s="7">
        <f>D15*D10-IF(D15&gt;0,IF(E18&gt;0,D10,IF(D17&gt;0,D10,0)),0)</f>
        <v>0</v>
      </c>
      <c r="K19" s="38">
        <v>0.30499999999999999</v>
      </c>
      <c r="L19" s="64">
        <f t="shared" si="0"/>
        <v>0</v>
      </c>
    </row>
    <row r="20" spans="2:24" s="38" customFormat="1" ht="20.100000000000001" customHeight="1" thickBot="1" x14ac:dyDescent="0.35">
      <c r="B20" s="118" t="s">
        <v>129</v>
      </c>
      <c r="C20" s="119"/>
      <c r="D20" s="120" t="s">
        <v>107</v>
      </c>
      <c r="E20" s="121"/>
      <c r="G20" s="35" t="s">
        <v>41</v>
      </c>
      <c r="H20" s="65" t="s">
        <v>40</v>
      </c>
      <c r="I20" s="6">
        <f>IF(J20&lt;&gt;0,I18-D18*E18-200*D17,0)</f>
        <v>0</v>
      </c>
      <c r="J20" s="7">
        <f>IF(D15&gt;0,IF(E18&gt;0,D10,IF(D17&gt;0,D10,0)),0)</f>
        <v>0</v>
      </c>
      <c r="K20" s="38">
        <v>0.30499999999999999</v>
      </c>
      <c r="L20" s="64">
        <f t="shared" si="0"/>
        <v>0</v>
      </c>
      <c r="X20" s="38" t="s">
        <v>106</v>
      </c>
    </row>
    <row r="21" spans="2:24" s="38" customFormat="1" ht="20.100000000000001" customHeight="1" thickBot="1" x14ac:dyDescent="0.35">
      <c r="G21" s="35" t="s">
        <v>57</v>
      </c>
      <c r="H21" s="65" t="s">
        <v>43</v>
      </c>
      <c r="I21" s="8">
        <f>J7-20</f>
        <v>2586</v>
      </c>
      <c r="J21" s="9">
        <f>IF(J8&lt;1000,D10*2,D10*3)</f>
        <v>4</v>
      </c>
      <c r="K21" s="38">
        <v>0.41299999999999998</v>
      </c>
      <c r="L21" s="64">
        <f t="shared" si="0"/>
        <v>4.2720720000000005</v>
      </c>
      <c r="X21" s="38" t="s">
        <v>107</v>
      </c>
    </row>
    <row r="22" spans="2:24" s="38" customFormat="1" ht="20.100000000000001" customHeight="1" x14ac:dyDescent="0.3">
      <c r="B22" s="181" t="s">
        <v>59</v>
      </c>
      <c r="C22" s="182"/>
      <c r="G22" s="35" t="s">
        <v>44</v>
      </c>
      <c r="H22" s="67" t="s">
        <v>45</v>
      </c>
      <c r="I22" s="8">
        <f>IF(D16&lt;&gt;0,I18,0)</f>
        <v>0</v>
      </c>
      <c r="J22" s="9">
        <f>D16*D10</f>
        <v>0</v>
      </c>
      <c r="K22" s="38">
        <v>0.29499999999999998</v>
      </c>
      <c r="L22" s="64">
        <f t="shared" si="0"/>
        <v>0</v>
      </c>
    </row>
    <row r="23" spans="2:24" s="38" customFormat="1" ht="20.100000000000001" customHeight="1" thickBot="1" x14ac:dyDescent="0.35">
      <c r="B23" s="183" t="s">
        <v>29</v>
      </c>
      <c r="C23" s="184"/>
      <c r="G23" s="35" t="s">
        <v>58</v>
      </c>
      <c r="H23" s="67" t="s">
        <v>45</v>
      </c>
      <c r="I23" s="6">
        <f>IF(E18&lt;&gt;0,D18,0)</f>
        <v>0</v>
      </c>
      <c r="J23" s="7">
        <f>E18*D10</f>
        <v>0</v>
      </c>
      <c r="K23" s="38">
        <v>0.29499999999999998</v>
      </c>
      <c r="L23" s="64">
        <f t="shared" si="0"/>
        <v>0</v>
      </c>
    </row>
    <row r="24" spans="2:24" s="38" customFormat="1" ht="20.100000000000001" customHeight="1" x14ac:dyDescent="0.3">
      <c r="G24" s="35" t="s">
        <v>47</v>
      </c>
      <c r="H24" s="67" t="s">
        <v>48</v>
      </c>
      <c r="I24" s="6">
        <f>IF(OR(E18&lt;&gt;0,D16&lt;&gt;0),23,0)</f>
        <v>0</v>
      </c>
      <c r="J24" s="7">
        <f>(E18+D16)*2*D10</f>
        <v>0</v>
      </c>
      <c r="K24" s="38">
        <v>9.799999999999999E-2</v>
      </c>
      <c r="L24" s="64">
        <f t="shared" si="0"/>
        <v>0</v>
      </c>
    </row>
    <row r="25" spans="2:24" s="38" customFormat="1" ht="20.100000000000001" customHeight="1" x14ac:dyDescent="0.3">
      <c r="B25" s="191" t="s">
        <v>15</v>
      </c>
      <c r="C25" s="191"/>
      <c r="D25" s="191"/>
      <c r="G25" s="99" t="s">
        <v>97</v>
      </c>
      <c r="H25" s="67" t="s">
        <v>49</v>
      </c>
      <c r="I25" s="23">
        <f>IF(AND(B23='Видимый верхний трек'!S10,OR(D14&lt;&gt;0,D15&lt;&gt;0,D16&lt;&gt;0)),150,0)</f>
        <v>0</v>
      </c>
      <c r="J25" s="7">
        <f>IF(B23='Видимый верхний трек'!S10,(D14*2+J19+J20+J22)*2,0)</f>
        <v>0</v>
      </c>
      <c r="K25" s="38">
        <v>0.23499999999999996</v>
      </c>
      <c r="L25" s="64">
        <f t="shared" si="0"/>
        <v>0</v>
      </c>
    </row>
    <row r="26" spans="2:24" s="38" customFormat="1" ht="20.100000000000001" customHeight="1" x14ac:dyDescent="0.3">
      <c r="B26" s="191" t="s">
        <v>20</v>
      </c>
      <c r="C26" s="191"/>
      <c r="D26" s="191"/>
      <c r="G26" s="69" t="s">
        <v>97</v>
      </c>
      <c r="H26" s="67" t="s">
        <v>49</v>
      </c>
      <c r="I26" s="6">
        <f>IF(AND(B23='Видимый верхний трек'!S10,OR(D14&lt;&gt;0,D15&lt;&gt;0,D16&lt;&gt;0),J8&lt;1000),J8-45-300-80,0)</f>
        <v>0</v>
      </c>
      <c r="J26" s="7">
        <f>IF(AND(J8&lt;1000,B23='Видимый верхний трек'!S10),(D15+D14+D16)*D10,0)</f>
        <v>0</v>
      </c>
      <c r="K26" s="38">
        <v>0.23499999999999996</v>
      </c>
      <c r="L26" s="64">
        <f t="shared" si="0"/>
        <v>0</v>
      </c>
    </row>
    <row r="27" spans="2:24" s="38" customFormat="1" ht="20.100000000000001" customHeight="1" thickBot="1" x14ac:dyDescent="0.35">
      <c r="G27" s="69" t="s">
        <v>97</v>
      </c>
      <c r="H27" s="67" t="s">
        <v>49</v>
      </c>
      <c r="I27" s="6">
        <f>IF(AND(B23='Видимый верхний трек'!S10,OR(D14&lt;&gt;0,D15&lt;&gt;0,D16&lt;&gt;0),J8&gt;=1000),(J8-45-300-120)/2,0)</f>
        <v>0</v>
      </c>
      <c r="J27" s="7">
        <f>IF(AND(J8&gt;=1000,B24=S10),(D15+D14+D16)*D10*2,0)</f>
        <v>0</v>
      </c>
      <c r="K27" s="38">
        <v>0.23499999999999996</v>
      </c>
      <c r="L27" s="64">
        <f t="shared" si="0"/>
        <v>0</v>
      </c>
    </row>
    <row r="28" spans="2:24" s="38" customFormat="1" ht="20.100000000000001" customHeight="1" thickBot="1" x14ac:dyDescent="0.35">
      <c r="B28" s="70" t="s">
        <v>90</v>
      </c>
      <c r="C28" s="71">
        <f>SUM(D14:D16)+1</f>
        <v>1</v>
      </c>
      <c r="D28" s="174" t="str">
        <f>IF(C28&gt;5,'Видимый верхний трек'!S37,'Видимый верхний трек'!S38)</f>
        <v xml:space="preserve"> </v>
      </c>
      <c r="E28" s="191"/>
      <c r="G28" s="69" t="s">
        <v>83</v>
      </c>
      <c r="H28" s="67" t="s">
        <v>79</v>
      </c>
      <c r="I28" s="23">
        <f>IF(OR(AND(C36='Видимый верхний трек'!S16,D36&lt;&gt;0),C32='Видимый верхний трек'!S16),J12-2-75,0)</f>
        <v>825</v>
      </c>
      <c r="J28" s="24">
        <f>IF(OR(AND(C32='Видимый верхний трек'!S16,D36=0),AND(C36='Видимый верхний трек'!S16,D36&lt;&gt;0,C32='Видимый верхний трек'!S16,D32&lt;&gt;0)),2,IF(OR(C32='Видимый верхний трек'!S16,AND(C36='Видимый верхний трек'!S16,D36&lt;&gt;0)),1,0))*D10</f>
        <v>4</v>
      </c>
      <c r="K28" s="38">
        <v>0.60799999999999998</v>
      </c>
      <c r="L28" s="64">
        <f t="shared" si="0"/>
        <v>2.0063999999999997</v>
      </c>
    </row>
    <row r="29" spans="2:24" s="38" customFormat="1" ht="20.100000000000001" customHeight="1" x14ac:dyDescent="0.3">
      <c r="G29" s="69" t="s">
        <v>84</v>
      </c>
      <c r="H29" s="67" t="s">
        <v>78</v>
      </c>
      <c r="I29" s="23">
        <f>IF(OR(AND(C32='Видимый верхний трек'!S16,D32&lt;&gt;0),AND(C33='Видимый верхний трек'!S16,D33&lt;&gt;0),AND(C34='Видимый верхний трек'!S16,D34&lt;&gt;0),AND(C35='Видимый верхний трек'!S16,D35&lt;&gt;0),AND(C36='Видимый верхний трек'!S16,D36&lt;&gt;0)),J12-2-75,0)</f>
        <v>825</v>
      </c>
      <c r="J29" s="24">
        <f>IF(I29&lt;&gt;0,(IF(AND(D36&lt;&gt;0,C32='Видимый верхний трек'!S16),1,0)+IF(AND(C32='Видимый верхний трек'!S16,D32&gt;=1000,D32&lt;1500),1,0)+IF(AND(C32='Видимый верхний трек'!S16,D32&gt;=1500,D32&lt;2000),2,0)+IF(AND(C32='Видимый верхний трек'!S16,D32&gt;=2000),3,0)+IF(AND(D33&lt;&gt;0,C33='Видимый верхний трек'!S16),2,0)+IF(AND(C33='Видимый верхний трек'!S16,D33&gt;=1000,D33&lt;1500),1,0)+IF(AND(C33='Видимый верхний трек'!S16,D33&gt;=1500,D33&lt;2000),2,0)+IF(AND(C33='Видимый верхний трек'!S16,D33&gt;=2000),3,0)+IF(AND(D34&lt;&gt;0,C34='Видимый верхний трек'!S16),2,0)+IF(AND(C34='Видимый верхний трек'!S16,D34&gt;=1000,D34&lt;1500),1,0)+IF(AND(C34='Видимый верхний трек'!S16,D34&gt;=1500,D34&lt;2000),2,0)+IF(AND(C34='Видимый верхний трек'!S16,D34&gt;=2000),3,0)+IF(AND(D35&lt;&gt;0,C35='Видимый верхний трек'!S16),2,0)+IF(AND(C35='Видимый верхний трек'!S16,D35&gt;=1000,D35&lt;1500),1,0)+IF(AND(C35='Видимый верхний трек'!S16,D35&gt;=1500,D35&lt;2000),2,0)+IF(AND(C35='Видимый верхний трек'!S16,D35&gt;=2000),3,0)+IF(AND(D36&lt;&gt;0,C36='Видимый верхний трек'!S16),1,0)+IF(AND(C36='Видимый верхний трек'!S16,D36&gt;=1000,D36&lt;1500),1,0)+IF(AND(C36='Видимый верхний трек'!S16,D36&gt;=1500,D36&lt;2000),2,0)+IF(AND(C36='Видимый верхний трек'!S16,D36&gt;=2000),3,0))*D10,0)</f>
        <v>6</v>
      </c>
      <c r="K29" s="38">
        <v>0.30499999999999999</v>
      </c>
      <c r="L29" s="64">
        <f t="shared" si="0"/>
        <v>1.5097499999999999</v>
      </c>
    </row>
    <row r="30" spans="2:24" s="38" customFormat="1" ht="20.100000000000001" customHeight="1" thickBot="1" x14ac:dyDescent="0.35">
      <c r="G30" s="69" t="s">
        <v>85</v>
      </c>
      <c r="H30" s="67" t="s">
        <v>78</v>
      </c>
      <c r="I30" s="23">
        <f>IF(C32='Видимый верхний трек'!S16,D32,0)</f>
        <v>2599</v>
      </c>
      <c r="J30" s="24">
        <f>IF(I30&lt;&gt;0,IF(C32='Видимый верхний трек'!S16,2,0)*D10,0)</f>
        <v>4</v>
      </c>
      <c r="K30" s="38">
        <v>0.30499999999999999</v>
      </c>
      <c r="L30" s="64">
        <f t="shared" si="0"/>
        <v>3.1707799999999997</v>
      </c>
    </row>
    <row r="31" spans="2:24" s="38" customFormat="1" ht="20.100000000000001" customHeight="1" x14ac:dyDescent="0.3">
      <c r="B31" s="73" t="s">
        <v>70</v>
      </c>
      <c r="C31" s="74" t="s">
        <v>74</v>
      </c>
      <c r="D31" s="74" t="s">
        <v>75</v>
      </c>
      <c r="E31" s="75" t="s">
        <v>76</v>
      </c>
      <c r="G31" s="69" t="s">
        <v>86</v>
      </c>
      <c r="H31" s="67" t="s">
        <v>78</v>
      </c>
      <c r="I31" s="23">
        <f>IF(C33='Видимый верхний трек'!S16,D33,0)</f>
        <v>0</v>
      </c>
      <c r="J31" s="24">
        <f>IF(I31&lt;&gt;0,IF(C33='Видимый верхний трек'!S16,2,0)*D10,0)</f>
        <v>0</v>
      </c>
      <c r="K31" s="38">
        <v>0.30499999999999999</v>
      </c>
      <c r="L31" s="64">
        <f t="shared" si="0"/>
        <v>0</v>
      </c>
    </row>
    <row r="32" spans="2:24" s="38" customFormat="1" ht="20.100000000000001" customHeight="1" x14ac:dyDescent="0.3">
      <c r="B32" s="35" t="s">
        <v>91</v>
      </c>
      <c r="C32" s="22" t="s">
        <v>81</v>
      </c>
      <c r="D32" s="26">
        <f>J11-SUM(D33:D36)</f>
        <v>2599</v>
      </c>
      <c r="E32" s="76">
        <f>IF(C32='Видимый верхний трек'!S16,$J$12-2,$J$12)</f>
        <v>900</v>
      </c>
      <c r="F32" s="77">
        <f>IF(D32&lt;&gt;0,1,0)</f>
        <v>1</v>
      </c>
      <c r="G32" s="69" t="s">
        <v>87</v>
      </c>
      <c r="H32" s="67" t="s">
        <v>78</v>
      </c>
      <c r="I32" s="23">
        <f>IF(C34='Видимый верхний трек'!S16,D34,0)</f>
        <v>0</v>
      </c>
      <c r="J32" s="24">
        <f>IF(I32&lt;&gt;0,IF(C34='Видимый верхний трек'!S16,2,0)*D10,0)</f>
        <v>0</v>
      </c>
      <c r="K32" s="38">
        <v>0.30499999999999999</v>
      </c>
      <c r="L32" s="64">
        <f t="shared" si="0"/>
        <v>0</v>
      </c>
    </row>
    <row r="33" spans="2:24" s="38" customFormat="1" ht="20.100000000000001" customHeight="1" x14ac:dyDescent="0.3">
      <c r="B33" s="35" t="s">
        <v>71</v>
      </c>
      <c r="C33" s="22" t="s">
        <v>77</v>
      </c>
      <c r="D33" s="25">
        <v>0</v>
      </c>
      <c r="E33" s="76">
        <f>IF(C33='Видимый верхний трек'!S16,$J$12-2,$J$12)</f>
        <v>902</v>
      </c>
      <c r="F33" s="77">
        <f t="shared" ref="F33:F36" si="1">IF(D33&lt;&gt;0,1,0)</f>
        <v>0</v>
      </c>
      <c r="G33" s="69" t="s">
        <v>88</v>
      </c>
      <c r="H33" s="67" t="s">
        <v>78</v>
      </c>
      <c r="I33" s="23">
        <f>IF(C35='Видимый верхний трек'!S16,D35,0)</f>
        <v>0</v>
      </c>
      <c r="J33" s="24">
        <f>IF(I33&lt;&gt;0,IF(C35='Видимый верхний трек'!S16,2,0)*D10,0)</f>
        <v>0</v>
      </c>
      <c r="K33" s="38">
        <v>0.30499999999999999</v>
      </c>
      <c r="L33" s="64">
        <f t="shared" si="0"/>
        <v>0</v>
      </c>
      <c r="X33" s="38" t="s">
        <v>93</v>
      </c>
    </row>
    <row r="34" spans="2:24" s="38" customFormat="1" ht="20.100000000000001" customHeight="1" thickBot="1" x14ac:dyDescent="0.35">
      <c r="B34" s="35" t="s">
        <v>72</v>
      </c>
      <c r="C34" s="22" t="s">
        <v>77</v>
      </c>
      <c r="D34" s="25">
        <v>0</v>
      </c>
      <c r="E34" s="76">
        <f>IF(C34='Видимый верхний трек'!S16,$J$12-2,$J$12)</f>
        <v>902</v>
      </c>
      <c r="F34" s="77">
        <f t="shared" si="1"/>
        <v>0</v>
      </c>
      <c r="G34" s="69" t="s">
        <v>89</v>
      </c>
      <c r="H34" s="67" t="s">
        <v>78</v>
      </c>
      <c r="I34" s="23">
        <f>IF(C36='Видимый верхний трек'!S16,D36,0)</f>
        <v>0</v>
      </c>
      <c r="J34" s="24">
        <f>IF(I34&lt;&gt;0,IF(C36='Видимый верхний трек'!S16,2,0)*D10,0)</f>
        <v>0</v>
      </c>
      <c r="K34" s="38">
        <v>0.30499999999999999</v>
      </c>
      <c r="L34" s="64">
        <f t="shared" si="0"/>
        <v>0</v>
      </c>
      <c r="X34" s="38" t="s">
        <v>94</v>
      </c>
    </row>
    <row r="35" spans="2:24" s="38" customFormat="1" ht="20.100000000000001" customHeight="1" thickBot="1" x14ac:dyDescent="0.3">
      <c r="B35" s="35" t="s">
        <v>73</v>
      </c>
      <c r="C35" s="22" t="s">
        <v>77</v>
      </c>
      <c r="D35" s="25">
        <v>0</v>
      </c>
      <c r="E35" s="76">
        <f>IF(C35='Видимый верхний трек'!S16,$J$12-2,$J$12)</f>
        <v>902</v>
      </c>
      <c r="F35" s="77">
        <f t="shared" si="1"/>
        <v>0</v>
      </c>
      <c r="G35" s="100"/>
      <c r="H35" s="101"/>
      <c r="I35" s="29"/>
      <c r="J35" s="30"/>
      <c r="L35" s="82">
        <f>SUM(L15:L34)/D10</f>
        <v>8.1268100000000008</v>
      </c>
    </row>
    <row r="36" spans="2:24" s="38" customFormat="1" ht="20.100000000000001" customHeight="1" thickBot="1" x14ac:dyDescent="0.3">
      <c r="B36" s="84" t="s">
        <v>92</v>
      </c>
      <c r="C36" s="27" t="s">
        <v>77</v>
      </c>
      <c r="D36" s="28">
        <v>0</v>
      </c>
      <c r="E36" s="85">
        <f>IF(C36='Видимый верхний трек'!S16,$J$12-2,$J$12)</f>
        <v>902</v>
      </c>
      <c r="F36" s="77">
        <f t="shared" si="1"/>
        <v>0</v>
      </c>
      <c r="G36" s="83" t="s">
        <v>8</v>
      </c>
      <c r="H36" s="60" t="s">
        <v>30</v>
      </c>
      <c r="I36" s="166" t="s">
        <v>4</v>
      </c>
      <c r="J36" s="167"/>
    </row>
    <row r="37" spans="2:24" s="38" customFormat="1" ht="20.100000000000001" customHeight="1" x14ac:dyDescent="0.25">
      <c r="G37" s="35" t="s">
        <v>51</v>
      </c>
      <c r="H37" s="65" t="s">
        <v>52</v>
      </c>
      <c r="I37" s="168">
        <f>IF(J8&gt;=1000,D10*1.5,D10)</f>
        <v>2</v>
      </c>
      <c r="J37" s="170"/>
      <c r="L37" s="38">
        <f>IF(C32=$X$15,D32*E32/1000000*13,IF(C32=$X$16,D32*E32/1000000*11))</f>
        <v>25.7301</v>
      </c>
      <c r="X37" s="38" t="s">
        <v>95</v>
      </c>
    </row>
    <row r="38" spans="2:24" s="38" customFormat="1" ht="20.100000000000001" customHeight="1" x14ac:dyDescent="0.25">
      <c r="C38" s="37" t="str">
        <f>IF((SUM(F32:F36)/C28)&lt;&gt;1,'Видимый верхний трек'!S33,'Видимый верхний трек'!S34)</f>
        <v>Верно внесены высоты вставок</v>
      </c>
      <c r="D38" s="47">
        <f>IF(C38='Видимый верхний трек'!S34,1,0)</f>
        <v>1</v>
      </c>
      <c r="G38" s="35" t="s">
        <v>125</v>
      </c>
      <c r="H38" s="65" t="s">
        <v>127</v>
      </c>
      <c r="I38" s="168">
        <f>ROUNDUP(IF(D9=X45,2+D12,IF(OR(D9=X46,D9=X47,D9=X48),4+D12,6+D12))/2,0)</f>
        <v>1</v>
      </c>
      <c r="J38" s="170"/>
      <c r="L38" s="38">
        <f t="shared" ref="L38:L41" si="2">IF(C33=$X$15,D33*E33/1000000*13,IF(C33=$X$16,D33*E33/1000000*11))</f>
        <v>0</v>
      </c>
      <c r="X38" s="38" t="s">
        <v>16</v>
      </c>
    </row>
    <row r="39" spans="2:24" s="38" customFormat="1" ht="20.100000000000001" customHeight="1" x14ac:dyDescent="0.25">
      <c r="G39" s="35" t="s">
        <v>126</v>
      </c>
      <c r="H39" s="65" t="s">
        <v>128</v>
      </c>
      <c r="I39" s="168">
        <f>ROUNDUP(IF(OR(D9=X45,D9=X46),2+D13,4+D13)/2,0)</f>
        <v>1</v>
      </c>
      <c r="J39" s="170"/>
      <c r="L39" s="38">
        <f t="shared" si="2"/>
        <v>0</v>
      </c>
      <c r="X39" s="38" t="s">
        <v>96</v>
      </c>
    </row>
    <row r="40" spans="2:24" s="38" customFormat="1" ht="20.100000000000001" customHeight="1" x14ac:dyDescent="0.25">
      <c r="C40" s="173" t="str">
        <f>IF(OR(AND(C32='Видимый верхний трек'!S16,D32&lt;130,D32&lt;&gt;0),AND(C33='Видимый верхний трек'!S16,D33&lt;130,D33&lt;&gt;0),AND(C34='Видимый верхний трек'!S16,D34&lt;130,D34&lt;&gt;0),AND(C35='Видимый верхний трек'!S16,D35&lt;130,D35&lt;&gt;0),AND(C36='Видимый верхний трек'!S16,D36&lt;130,D36&lt;&gt;0)),'Видимый верхний трек'!S39,'Видимый верхний трек'!S40)</f>
        <v xml:space="preserve"> </v>
      </c>
      <c r="D40" s="173"/>
      <c r="G40" s="35" t="s">
        <v>53</v>
      </c>
      <c r="H40" s="65" t="s">
        <v>54</v>
      </c>
      <c r="I40" s="176">
        <f>D17*D10</f>
        <v>0</v>
      </c>
      <c r="J40" s="177"/>
      <c r="L40" s="38">
        <f t="shared" si="2"/>
        <v>0</v>
      </c>
      <c r="X40" s="38" t="s">
        <v>16</v>
      </c>
    </row>
    <row r="41" spans="2:24" s="38" customFormat="1" ht="20.100000000000001" customHeight="1" thickBot="1" x14ac:dyDescent="0.35">
      <c r="C41" s="198" t="str">
        <f>IF(AND(SUM(F32:F36)/C28=1,D36=0,C28&lt;&gt;1),'Видимый верхний трек'!S52,'Видимый верхний трек'!S53)</f>
        <v xml:space="preserve"> </v>
      </c>
      <c r="D41" s="198"/>
      <c r="G41" s="35" t="s">
        <v>131</v>
      </c>
      <c r="H41" s="36" t="s">
        <v>117</v>
      </c>
      <c r="I41" s="178">
        <f>IF(L45&lt;30,ROUNDUP(SUM(D12:E13)/2,0),0)</f>
        <v>0</v>
      </c>
      <c r="J41" s="179"/>
      <c r="L41" s="38">
        <f t="shared" si="2"/>
        <v>0</v>
      </c>
      <c r="X41" s="41"/>
    </row>
    <row r="42" spans="2:24" ht="20.100000000000001" customHeight="1" thickBot="1" x14ac:dyDescent="0.35">
      <c r="B42" s="38"/>
      <c r="C42" s="38"/>
      <c r="D42" s="38"/>
      <c r="E42" s="93"/>
      <c r="F42" s="93"/>
      <c r="G42" s="35" t="s">
        <v>131</v>
      </c>
      <c r="H42" s="36" t="s">
        <v>118</v>
      </c>
      <c r="I42" s="178">
        <f>IF(AND(L45&gt;=30,L45&lt;50),ROUNDUP(SUM(D12:E13)/2,0),0)</f>
        <v>0</v>
      </c>
      <c r="J42" s="179"/>
      <c r="L42" s="86">
        <f>SUM(L37:L41)</f>
        <v>25.7301</v>
      </c>
    </row>
    <row r="43" spans="2:24" ht="20.100000000000001" customHeight="1" x14ac:dyDescent="0.3">
      <c r="B43" s="38"/>
      <c r="C43" s="38"/>
      <c r="D43" s="38"/>
      <c r="E43" s="102"/>
      <c r="F43" s="94"/>
      <c r="G43" s="35" t="s">
        <v>131</v>
      </c>
      <c r="H43" s="36" t="s">
        <v>119</v>
      </c>
      <c r="I43" s="178">
        <f>IF(AND(L45&gt;=50,L45&lt;70),ROUNDUP(SUM(D12:E13)/2,0),0)</f>
        <v>0</v>
      </c>
      <c r="J43" s="179"/>
    </row>
    <row r="44" spans="2:24" ht="20.100000000000001" customHeight="1" thickBot="1" x14ac:dyDescent="0.35">
      <c r="B44" s="38"/>
      <c r="C44" s="38"/>
      <c r="D44" s="38"/>
      <c r="E44" s="38"/>
      <c r="F44" s="38"/>
      <c r="G44" s="88" t="s">
        <v>137</v>
      </c>
      <c r="H44" s="89" t="s">
        <v>55</v>
      </c>
      <c r="I44" s="196">
        <f>D10*2-D12-D13</f>
        <v>4</v>
      </c>
      <c r="J44" s="197"/>
    </row>
    <row r="45" spans="2:24" ht="20.100000000000001" customHeight="1" thickBot="1" x14ac:dyDescent="0.35">
      <c r="E45" s="38"/>
      <c r="F45" s="38"/>
      <c r="G45" s="35" t="s">
        <v>22</v>
      </c>
      <c r="H45" s="33" t="s">
        <v>113</v>
      </c>
      <c r="I45" s="137">
        <f>CEILING(J17*J7/1000,1)</f>
        <v>11</v>
      </c>
      <c r="J45" s="138"/>
      <c r="L45" s="90">
        <f>(L35+L42)*1.05</f>
        <v>35.549755500000003</v>
      </c>
      <c r="X45" s="91" t="s">
        <v>98</v>
      </c>
    </row>
    <row r="46" spans="2:24" ht="20.100000000000001" customHeight="1" x14ac:dyDescent="0.3">
      <c r="C46" s="190" t="s">
        <v>13</v>
      </c>
      <c r="D46" s="190"/>
      <c r="E46" s="38"/>
      <c r="F46" s="38"/>
      <c r="G46" s="35" t="s">
        <v>9</v>
      </c>
      <c r="H46" s="65" t="s">
        <v>56</v>
      </c>
      <c r="I46" s="137">
        <f>IF(D19='Видимый верхний трек'!S20,CEILING(I16*2/1000,1),0)</f>
        <v>0</v>
      </c>
      <c r="J46" s="138"/>
      <c r="X46" s="91" t="s">
        <v>99</v>
      </c>
    </row>
    <row r="47" spans="2:24" ht="20.100000000000001" customHeight="1" x14ac:dyDescent="0.3">
      <c r="C47" s="190"/>
      <c r="D47" s="190"/>
      <c r="E47" s="38"/>
      <c r="F47" s="38"/>
      <c r="G47" s="95" t="s">
        <v>29</v>
      </c>
      <c r="H47" s="63" t="s">
        <v>50</v>
      </c>
      <c r="I47" s="176">
        <f>IF(B23='Видимый верхний трек'!S11,ROUND((D17+E18)*D10*4+(J8/300+1)*((D16+D15+D14)*2),1),0)</f>
        <v>0</v>
      </c>
      <c r="J47" s="177"/>
      <c r="X47" s="91" t="s">
        <v>100</v>
      </c>
    </row>
    <row r="48" spans="2:24" ht="20.100000000000001" customHeight="1" x14ac:dyDescent="0.3">
      <c r="C48" s="92"/>
      <c r="D48" s="92"/>
      <c r="E48" s="38"/>
      <c r="F48" s="38"/>
      <c r="G48" s="95" t="s">
        <v>80</v>
      </c>
      <c r="H48" s="63" t="s">
        <v>82</v>
      </c>
      <c r="I48" s="199">
        <f>J28*4+J29*2</f>
        <v>28</v>
      </c>
      <c r="J48" s="200"/>
      <c r="L48" s="103"/>
      <c r="X48" s="91" t="s">
        <v>101</v>
      </c>
    </row>
    <row r="49" spans="2:24" ht="20.100000000000001" customHeight="1" x14ac:dyDescent="0.3">
      <c r="C49" s="92"/>
      <c r="D49" s="92"/>
      <c r="E49" s="38"/>
      <c r="F49" s="38"/>
      <c r="G49" s="96" t="s">
        <v>109</v>
      </c>
      <c r="H49" s="67" t="s">
        <v>105</v>
      </c>
      <c r="I49" s="194">
        <f>CEILING(SUM(I30*J30,I31*J31,I32*J32,I33*J33,I34*J34)/1000,1)</f>
        <v>11</v>
      </c>
      <c r="J49" s="195"/>
      <c r="X49" s="91" t="s">
        <v>102</v>
      </c>
    </row>
    <row r="50" spans="2:24" ht="20.100000000000001" customHeight="1" x14ac:dyDescent="0.3">
      <c r="C50" s="190" t="s">
        <v>21</v>
      </c>
      <c r="D50" s="190"/>
      <c r="E50" s="38"/>
      <c r="F50" s="38"/>
      <c r="G50" s="35" t="s">
        <v>135</v>
      </c>
      <c r="H50" s="36" t="s">
        <v>130</v>
      </c>
      <c r="I50" s="133">
        <f>IF(D20=X20,D11,0)</f>
        <v>0</v>
      </c>
      <c r="J50" s="145"/>
    </row>
    <row r="51" spans="2:24" ht="20.100000000000001" customHeight="1" x14ac:dyDescent="0.3">
      <c r="B51" s="122" t="s">
        <v>111</v>
      </c>
      <c r="C51" s="190"/>
      <c r="D51" s="190"/>
      <c r="E51" s="38"/>
      <c r="F51" s="38"/>
      <c r="G51" s="35" t="s">
        <v>66</v>
      </c>
      <c r="H51" s="65"/>
      <c r="I51" s="176">
        <f>I18*J18/250</f>
        <v>14.336</v>
      </c>
      <c r="J51" s="177"/>
      <c r="X51" s="97"/>
    </row>
    <row r="52" spans="2:24" ht="20.100000000000001" customHeight="1" x14ac:dyDescent="0.3">
      <c r="B52" s="122"/>
      <c r="C52" s="190"/>
      <c r="D52" s="190"/>
      <c r="E52" s="41"/>
      <c r="G52" s="69" t="s">
        <v>67</v>
      </c>
      <c r="H52" s="65"/>
      <c r="I52" s="176">
        <f>IF(C32='Видимый верхний трек'!S15,(D32/250)*2*D10+IF(D36&lt;&gt;0,(E32/250)*D10,0)+I38*8+(D32/300)*2*J21,0)+IF(AND(C33='Видимый верхний трек'!S15,D33&lt;&gt;0),(D33/250)*2*D10+(E33/250)*D10*2+(D33/300)*2*J21,0)+IF(AND(C34='Видимый верхний трек'!S15,D34&lt;&gt;0),(D34/250)*2*D10+(E34/250)*D10*2+(D34/300)*2*J21,0)+IF(AND(C35='Видимый верхний трек'!S15,D35&lt;&gt;0),(D35/250)*2*D10+(E35/250)*D10*2+(D35/300)*2*J21,0)+IF(AND(C36='Видимый верхний трек'!S15,D36&lt;&gt;0),(D36/250)*2*D10+(E36/250)*D10*2+(D36/300)*2*J21+I37*8,0)+I19*J19/250+I20*J20/250</f>
        <v>0</v>
      </c>
      <c r="J52" s="177"/>
      <c r="X52" s="41" t="s">
        <v>110</v>
      </c>
    </row>
    <row r="53" spans="2:24" ht="19.5" customHeight="1" x14ac:dyDescent="0.3">
      <c r="B53" s="122"/>
      <c r="C53" s="190"/>
      <c r="D53" s="190"/>
      <c r="E53" s="41"/>
      <c r="G53" s="35" t="s">
        <v>68</v>
      </c>
      <c r="H53" s="65"/>
      <c r="I53" s="176">
        <f>J24*2</f>
        <v>0</v>
      </c>
      <c r="J53" s="177"/>
      <c r="X53" s="41" t="s">
        <v>16</v>
      </c>
    </row>
    <row r="54" spans="2:24" ht="19.5" customHeight="1" thickBot="1" x14ac:dyDescent="0.35">
      <c r="D54" s="41"/>
      <c r="E54" s="41"/>
      <c r="G54" s="42" t="s">
        <v>69</v>
      </c>
      <c r="H54" s="98"/>
      <c r="I54" s="192">
        <f>(J23*2+I22*J22/250+D17*2*D10)+IF(C32='Видимый верхний трек'!S16,(D32/250)*2*D10+IF(D36&lt;&gt;0,(E32/250)*D10,0)+I38*8+(D32/300)*2*J21,0)+IF(AND(C33='Видимый верхний трек'!S16,D33&lt;&gt;0),(D33/250)*2*D10+(E33/250)*D10*2+(D33/300)*2*J21,0)+IF(AND(C34='Видимый верхний трек'!S16,D34&lt;&gt;0),(D34/250)*2*D10+(E34/250)*D10*2+(D34/300)*2*J21,0)+IF(AND(C35='Видимый верхний трек'!S16,D35&lt;&gt;0),(D35/250)*2*D10+(E35/250)*D10*2+(D35/300)*2*J21,0)+IF(AND(C36='Видимый верхний трек'!S16,D36&lt;&gt;0),(D36/250)*2*D10+(E36/250)*D10*2+(D36/300)*2*J21+I37*8,0)</f>
        <v>118.89066666666668</v>
      </c>
      <c r="J54" s="193"/>
    </row>
    <row r="55" spans="2:24" ht="20.100000000000001" hidden="1" customHeight="1" x14ac:dyDescent="0.3">
      <c r="G55" s="104"/>
      <c r="H55" s="105"/>
      <c r="I55" s="45"/>
      <c r="J55" s="106"/>
    </row>
    <row r="56" spans="2:24" ht="19.5" thickBot="1" x14ac:dyDescent="0.35">
      <c r="X56" s="41" t="s">
        <v>107</v>
      </c>
    </row>
    <row r="57" spans="2:24" ht="19.5" thickBot="1" x14ac:dyDescent="0.35">
      <c r="D57" s="39" t="s">
        <v>122</v>
      </c>
      <c r="E57" s="40">
        <f>ROUNDUP(L45,0)</f>
        <v>36</v>
      </c>
      <c r="G57" s="41" t="s">
        <v>123</v>
      </c>
      <c r="J57" s="115" t="s">
        <v>28</v>
      </c>
      <c r="X57" s="41" t="s">
        <v>114</v>
      </c>
    </row>
    <row r="58" spans="2:24" x14ac:dyDescent="0.3">
      <c r="G58" s="104"/>
      <c r="H58" s="107"/>
      <c r="I58" s="43"/>
      <c r="J58" s="44"/>
      <c r="X58" s="41" t="s">
        <v>115</v>
      </c>
    </row>
    <row r="59" spans="2:24" x14ac:dyDescent="0.3">
      <c r="G59" s="41" t="s">
        <v>136</v>
      </c>
    </row>
    <row r="78" spans="7:7" x14ac:dyDescent="0.3">
      <c r="G78" s="97"/>
    </row>
  </sheetData>
  <sheetProtection algorithmName="SHA-512" hashValue="U+SKI8b6oWFsVLri/z4mIubwlNweyoiWzLTdu2dErKYeyodcHl8CSJkyjPVF/MJdMIZ4oFy2vLcmEMp/QS9H2w==" saltValue="0PCtlUkaw09G4q3qQhXPTA==" spinCount="100000" sheet="1" objects="1" scenarios="1" selectLockedCells="1"/>
  <mergeCells count="61">
    <mergeCell ref="D9:E9"/>
    <mergeCell ref="D11:E11"/>
    <mergeCell ref="D15:E15"/>
    <mergeCell ref="B26:D26"/>
    <mergeCell ref="D17:E17"/>
    <mergeCell ref="B25:D25"/>
    <mergeCell ref="B12:C12"/>
    <mergeCell ref="B19:C19"/>
    <mergeCell ref="B20:C20"/>
    <mergeCell ref="I54:J54"/>
    <mergeCell ref="I49:J49"/>
    <mergeCell ref="C46:D47"/>
    <mergeCell ref="C40:D40"/>
    <mergeCell ref="I44:J44"/>
    <mergeCell ref="C41:D41"/>
    <mergeCell ref="I48:J48"/>
    <mergeCell ref="I47:J47"/>
    <mergeCell ref="I50:J50"/>
    <mergeCell ref="G7:H8"/>
    <mergeCell ref="B51:B53"/>
    <mergeCell ref="C50:D53"/>
    <mergeCell ref="I52:J52"/>
    <mergeCell ref="I53:J53"/>
    <mergeCell ref="I51:J51"/>
    <mergeCell ref="D10:E10"/>
    <mergeCell ref="D12:E12"/>
    <mergeCell ref="B9:C9"/>
    <mergeCell ref="I36:J36"/>
    <mergeCell ref="I37:J37"/>
    <mergeCell ref="D14:E14"/>
    <mergeCell ref="D16:E16"/>
    <mergeCell ref="G11:H12"/>
    <mergeCell ref="D28:E28"/>
    <mergeCell ref="B11:C11"/>
    <mergeCell ref="B2:J3"/>
    <mergeCell ref="B5:E5"/>
    <mergeCell ref="B22:C22"/>
    <mergeCell ref="B23:C23"/>
    <mergeCell ref="B14:C14"/>
    <mergeCell ref="B15:C15"/>
    <mergeCell ref="B16:C16"/>
    <mergeCell ref="B17:C17"/>
    <mergeCell ref="B18:C18"/>
    <mergeCell ref="B7:C7"/>
    <mergeCell ref="B8:C8"/>
    <mergeCell ref="B10:C10"/>
    <mergeCell ref="G5:J5"/>
    <mergeCell ref="D7:E7"/>
    <mergeCell ref="D8:E8"/>
    <mergeCell ref="B13:C13"/>
    <mergeCell ref="I38:J38"/>
    <mergeCell ref="I45:J45"/>
    <mergeCell ref="I46:J46"/>
    <mergeCell ref="I40:J40"/>
    <mergeCell ref="D13:E13"/>
    <mergeCell ref="D19:E19"/>
    <mergeCell ref="I39:J39"/>
    <mergeCell ref="D20:E20"/>
    <mergeCell ref="I41:J41"/>
    <mergeCell ref="I42:J42"/>
    <mergeCell ref="I43:J43"/>
  </mergeCells>
  <conditionalFormatting sqref="D13:E13">
    <cfRule type="expression" dxfId="13" priority="1">
      <formula>OR(AND(OR(D9=X46,D9=X45),D13&gt;2),AND(OR(D9=X47,D9=X48,D9=X49),D13&gt;4))</formula>
    </cfRule>
  </conditionalFormatting>
  <conditionalFormatting sqref="D12:E12">
    <cfRule type="expression" dxfId="12" priority="12">
      <formula>OR(AND(D9=X45,D12&gt;2),AND(OR(D9=X46,D9=X47,D9=X48),D12&gt;4),AND(D50=X9,D12&gt;6))</formula>
    </cfRule>
  </conditionalFormatting>
  <dataValidations count="8">
    <dataValidation type="whole" operator="greaterThan" allowBlank="1" showInputMessage="1" showErrorMessage="1" sqref="D14:E16 D17">
      <formula1>-1</formula1>
    </dataValidation>
    <dataValidation type="whole" allowBlank="1" showInputMessage="1" showErrorMessage="1" sqref="D10:E10">
      <formula1>1</formula1>
      <formula2>5</formula2>
    </dataValidation>
    <dataValidation type="whole" allowBlank="1" showInputMessage="1" showErrorMessage="1" sqref="E18">
      <formula1>0</formula1>
      <formula2>2</formula2>
    </dataValidation>
    <dataValidation type="whole" allowBlank="1" showInputMessage="1" showErrorMessage="1" sqref="D11:E11">
      <formula1>1</formula1>
      <formula2>4</formula2>
    </dataValidation>
    <dataValidation type="list" allowBlank="1" showInputMessage="1" showErrorMessage="1" sqref="D9:E9">
      <formula1>$X$45:$X$49</formula1>
    </dataValidation>
    <dataValidation type="list" allowBlank="1" showInputMessage="1" showErrorMessage="1" sqref="D20:E20">
      <formula1>$X$20:$X$21</formula1>
    </dataValidation>
    <dataValidation type="whole" allowBlank="1" showInputMessage="1" showErrorMessage="1" errorTitle="Неверное количество" error="Не более двух доводчиков на одну дверь." sqref="D13:E13">
      <formula1>-1</formula1>
      <formula2>IF(OR(D9=X46,D9=X45),2,4)</formula2>
    </dataValidation>
    <dataValidation type="whole" allowBlank="1" showInputMessage="1" showErrorMessage="1" errorTitle="Неверное количество" error="Не более двух доводчиков на одну дверь." sqref="D12:E12">
      <formula1>-1</formula1>
      <formula2>IF(D9=X45,2,IF(OR(D9=X46,D9=X47,D9=X48),4,6))</formula2>
    </dataValidation>
  </dataValidations>
  <hyperlinks>
    <hyperlink ref="J57" location="Оглавление!A1" display="оглавление"/>
  </hyperlinks>
  <printOptions horizontalCentered="1"/>
  <pageMargins left="0.39370078740157483" right="0.39370078740157483" top="0.39370078740157483" bottom="0.39370078740157483" header="0" footer="0"/>
  <pageSetup paperSize="9" scale="7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511E95E3-1AA3-42E9-87C9-763EB0071AB3}">
            <xm:f>$C$38='Видимый верхний трек'!$S$33</xm:f>
            <x14:dxf>
              <fill>
                <patternFill>
                  <bgColor rgb="FFFF0000"/>
                </patternFill>
              </fill>
            </x14:dxf>
          </x14:cfRule>
          <x14:cfRule type="expression" priority="9" id="{7DA82748-5B57-4C18-93CB-0EA53F35C49F}">
            <xm:f>$C$38='Видимый верхний трек'!$S$34</xm:f>
            <x14:dxf>
              <font>
                <color auto="1"/>
              </font>
              <fill>
                <patternFill>
                  <bgColor rgb="FF92D050"/>
                </patternFill>
              </fill>
            </x14:dxf>
          </x14:cfRule>
          <xm:sqref>C38</xm:sqref>
        </x14:conditionalFormatting>
        <x14:conditionalFormatting xmlns:xm="http://schemas.microsoft.com/office/excel/2006/main">
          <x14:cfRule type="expression" priority="6" id="{B41BA582-B011-4A5A-B4E0-9D90B4F37AEC}">
            <xm:f>$D$28='Видимый верхний трек'!$S$37</xm:f>
            <x14:dxf>
              <fill>
                <patternFill>
                  <bgColor rgb="FFFF0000"/>
                </patternFill>
              </fill>
            </x14:dxf>
          </x14:cfRule>
          <xm:sqref>D28:E28</xm:sqref>
        </x14:conditionalFormatting>
        <x14:conditionalFormatting xmlns:xm="http://schemas.microsoft.com/office/excel/2006/main">
          <x14:cfRule type="expression" priority="5" id="{DD364A56-EDF6-4EC0-B8EA-45590122B364}">
            <xm:f>$C$40='Видимый верхний трек'!$S$39</xm:f>
            <x14:dxf>
              <fill>
                <patternFill>
                  <bgColor rgb="FFFF0000"/>
                </patternFill>
              </fill>
            </x14:dxf>
          </x14:cfRule>
          <xm:sqref>C40</xm:sqref>
        </x14:conditionalFormatting>
        <x14:conditionalFormatting xmlns:xm="http://schemas.microsoft.com/office/excel/2006/main">
          <x14:cfRule type="iconSet" priority="7" id="{11D2B965-D1E5-40D9-A145-A951E12B7710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D38</xm:sqref>
        </x14:conditionalFormatting>
        <x14:conditionalFormatting xmlns:xm="http://schemas.microsoft.com/office/excel/2006/main">
          <x14:cfRule type="expression" priority="3" id="{0DB9F9AF-3EC4-4264-B38C-213E74183AA7}">
            <xm:f>$C$41='Видимый верхний трек'!$S$52</xm:f>
            <x14:dxf>
              <fill>
                <patternFill>
                  <bgColor rgb="FFFF0000"/>
                </patternFill>
              </fill>
            </x14:dxf>
          </x14:cfRule>
          <xm:sqref>C41:D41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'Видимый верхний трек'!$S$10:$S$11</xm:f>
          </x14:formula1>
          <xm:sqref>B23</xm:sqref>
        </x14:dataValidation>
        <x14:dataValidation type="list" allowBlank="1" showInputMessage="1" showErrorMessage="1">
          <x14:formula1>
            <xm:f>'Видимый верхний трек'!$S$15:$S$16</xm:f>
          </x14:formula1>
          <xm:sqref>C32:C36</xm:sqref>
        </x14:dataValidation>
        <x14:dataValidation type="list" allowBlank="1" showInputMessage="1" showErrorMessage="1">
          <x14:formula1>
            <xm:f>'Видимый верхний трек'!$S$20:$S$21</xm:f>
          </x14:formula1>
          <xm:sqref>D19:E19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9"/>
  <sheetViews>
    <sheetView zoomScale="70" zoomScaleNormal="70" workbookViewId="0">
      <selection activeCell="D7" sqref="D7:E7"/>
    </sheetView>
  </sheetViews>
  <sheetFormatPr defaultColWidth="9.140625" defaultRowHeight="18.75" x14ac:dyDescent="0.3"/>
  <cols>
    <col min="1" max="1" width="4.7109375" style="41" customWidth="1"/>
    <col min="2" max="3" width="43.7109375" style="41" customWidth="1"/>
    <col min="4" max="5" width="14.7109375" style="47" customWidth="1"/>
    <col min="6" max="6" width="3.7109375" style="41" customWidth="1"/>
    <col min="7" max="7" width="79.7109375" style="41" customWidth="1"/>
    <col min="8" max="8" width="20.7109375" style="41" customWidth="1"/>
    <col min="9" max="10" width="17.7109375" style="41" customWidth="1"/>
    <col min="11" max="12" width="9.140625" style="41" hidden="1" customWidth="1"/>
    <col min="13" max="23" width="9.140625" style="41"/>
    <col min="24" max="24" width="48.5703125" style="41" hidden="1" customWidth="1"/>
    <col min="25" max="16384" width="9.140625" style="41"/>
  </cols>
  <sheetData>
    <row r="1" spans="2:24" x14ac:dyDescent="0.3">
      <c r="C1" s="46"/>
    </row>
    <row r="2" spans="2:24" s="38" customFormat="1" ht="27.6" customHeight="1" x14ac:dyDescent="0.25">
      <c r="B2" s="180" t="s">
        <v>14</v>
      </c>
      <c r="C2" s="180"/>
      <c r="D2" s="180"/>
      <c r="E2" s="180"/>
      <c r="F2" s="180"/>
      <c r="G2" s="180"/>
      <c r="H2" s="180"/>
      <c r="I2" s="180"/>
      <c r="J2" s="180"/>
    </row>
    <row r="3" spans="2:24" s="48" customFormat="1" ht="26.1" customHeight="1" x14ac:dyDescent="0.25">
      <c r="B3" s="180"/>
      <c r="C3" s="180"/>
      <c r="D3" s="180"/>
      <c r="E3" s="180"/>
      <c r="F3" s="180"/>
      <c r="G3" s="180"/>
      <c r="H3" s="180"/>
      <c r="I3" s="180"/>
      <c r="J3" s="180"/>
    </row>
    <row r="4" spans="2:24" s="48" customFormat="1" ht="20.100000000000001" customHeight="1" x14ac:dyDescent="0.3">
      <c r="C4" s="49"/>
      <c r="D4" s="49"/>
      <c r="E4" s="49"/>
      <c r="G4" s="50"/>
      <c r="H4" s="50"/>
      <c r="I4" s="50"/>
      <c r="J4" s="50"/>
    </row>
    <row r="5" spans="2:24" s="48" customFormat="1" ht="20.100000000000001" customHeight="1" x14ac:dyDescent="0.25">
      <c r="B5" s="147" t="s">
        <v>11</v>
      </c>
      <c r="C5" s="147"/>
      <c r="D5" s="147"/>
      <c r="E5" s="147"/>
      <c r="G5" s="147" t="s">
        <v>10</v>
      </c>
      <c r="H5" s="147"/>
      <c r="I5" s="147"/>
      <c r="J5" s="147"/>
    </row>
    <row r="6" spans="2:24" s="48" customFormat="1" ht="20.100000000000001" customHeight="1" thickBot="1" x14ac:dyDescent="0.3">
      <c r="C6" s="51"/>
      <c r="D6" s="51"/>
      <c r="E6" s="51"/>
      <c r="G6" s="51"/>
      <c r="H6" s="51"/>
      <c r="I6" s="51"/>
      <c r="J6" s="51"/>
      <c r="X6" s="38"/>
    </row>
    <row r="7" spans="2:24" s="38" customFormat="1" ht="20.100000000000001" customHeight="1" x14ac:dyDescent="0.25">
      <c r="B7" s="181" t="s">
        <v>0</v>
      </c>
      <c r="C7" s="187"/>
      <c r="D7" s="159">
        <v>2600</v>
      </c>
      <c r="E7" s="160"/>
      <c r="G7" s="150" t="s">
        <v>7</v>
      </c>
      <c r="H7" s="151"/>
      <c r="I7" s="52" t="s">
        <v>5</v>
      </c>
      <c r="J7" s="1">
        <f>D7-10-22</f>
        <v>2568</v>
      </c>
    </row>
    <row r="8" spans="2:24" s="38" customFormat="1" ht="20.100000000000001" customHeight="1" thickBot="1" x14ac:dyDescent="0.3">
      <c r="B8" s="131" t="s">
        <v>17</v>
      </c>
      <c r="C8" s="132"/>
      <c r="D8" s="161">
        <v>1800</v>
      </c>
      <c r="E8" s="162"/>
      <c r="G8" s="152"/>
      <c r="H8" s="153"/>
      <c r="I8" s="53" t="s">
        <v>6</v>
      </c>
      <c r="J8" s="2">
        <f>ROUNDUP(IF(AND(OR(D20=X57,D20=X58),D9=X48),(D8-20+D11*12)/D10,
IF(AND(OR(D20=X57,D20=X58),D9&lt;&gt;X48),(D8-10+D11*12)/D10,(D8+D11*12)/D10)),0)</f>
        <v>901</v>
      </c>
    </row>
    <row r="9" spans="2:24" s="38" customFormat="1" ht="20.100000000000001" customHeight="1" x14ac:dyDescent="0.25">
      <c r="B9" s="127" t="s">
        <v>103</v>
      </c>
      <c r="C9" s="128"/>
      <c r="D9" s="161" t="s">
        <v>98</v>
      </c>
      <c r="E9" s="162"/>
      <c r="G9" s="54"/>
      <c r="H9" s="54"/>
      <c r="I9" s="55"/>
      <c r="J9" s="31"/>
    </row>
    <row r="10" spans="2:24" s="38" customFormat="1" ht="20.100000000000001" customHeight="1" thickBot="1" x14ac:dyDescent="0.3">
      <c r="B10" s="131" t="s">
        <v>1</v>
      </c>
      <c r="C10" s="132"/>
      <c r="D10" s="163">
        <f>IF(D9='Видимый верхний трек'!S45,2,IF(D9='Видимый верхний трек'!S46,3,IF(D9='Видимый верхний трек'!S47,4,IF(D9='Видимый верхний трек'!S48,4,IF(D9='Видимый верхний трек'!S49,5)))))</f>
        <v>2</v>
      </c>
      <c r="E10" s="164"/>
      <c r="G10" s="54"/>
      <c r="H10" s="54"/>
      <c r="I10" s="55"/>
      <c r="J10" s="3"/>
      <c r="X10" s="38" t="s">
        <v>97</v>
      </c>
    </row>
    <row r="11" spans="2:24" s="38" customFormat="1" ht="20.100000000000001" customHeight="1" x14ac:dyDescent="0.3">
      <c r="B11" s="131" t="s">
        <v>134</v>
      </c>
      <c r="C11" s="132"/>
      <c r="D11" s="163">
        <f>IF(D9='Видимый верхний трек'!S45,1,IF(D9='Видимый верхний трек'!S46,2,IF(D9='Видимый верхний трек'!S47,3,IF(D9='Видимый верхний трек'!S48,2,IF(D9='Видимый верхний трек'!S49,4)))))</f>
        <v>1</v>
      </c>
      <c r="E11" s="164"/>
      <c r="G11" s="154" t="s">
        <v>104</v>
      </c>
      <c r="H11" s="155"/>
      <c r="I11" s="56" t="s">
        <v>12</v>
      </c>
      <c r="J11" s="1">
        <f>ROUNDDOWN(J7-1.6*D14-26*D15-3.5*2-D16*26,0)</f>
        <v>2561</v>
      </c>
      <c r="X11" s="38" t="s">
        <v>29</v>
      </c>
    </row>
    <row r="12" spans="2:24" s="38" customFormat="1" ht="20.100000000000001" customHeight="1" thickBot="1" x14ac:dyDescent="0.3">
      <c r="B12" s="201" t="s">
        <v>132</v>
      </c>
      <c r="C12" s="202"/>
      <c r="D12" s="148">
        <v>0</v>
      </c>
      <c r="E12" s="149"/>
      <c r="G12" s="156"/>
      <c r="H12" s="157"/>
      <c r="I12" s="53" t="s">
        <v>6</v>
      </c>
      <c r="J12" s="2">
        <f>J8-4</f>
        <v>897</v>
      </c>
    </row>
    <row r="13" spans="2:24" s="38" customFormat="1" ht="20.100000000000001" customHeight="1" thickBot="1" x14ac:dyDescent="0.3">
      <c r="B13" s="188" t="s">
        <v>133</v>
      </c>
      <c r="C13" s="189"/>
      <c r="D13" s="148">
        <v>0</v>
      </c>
      <c r="E13" s="149"/>
      <c r="G13" s="54"/>
      <c r="H13" s="54"/>
      <c r="I13" s="57"/>
      <c r="J13" s="58"/>
    </row>
    <row r="14" spans="2:24" s="38" customFormat="1" ht="20.100000000000001" customHeight="1" x14ac:dyDescent="0.25">
      <c r="B14" s="185" t="s">
        <v>24</v>
      </c>
      <c r="C14" s="186"/>
      <c r="D14" s="148">
        <v>0</v>
      </c>
      <c r="E14" s="149"/>
      <c r="G14" s="59" t="s">
        <v>2</v>
      </c>
      <c r="H14" s="60" t="s">
        <v>30</v>
      </c>
      <c r="I14" s="52" t="s">
        <v>3</v>
      </c>
      <c r="J14" s="61" t="s">
        <v>4</v>
      </c>
    </row>
    <row r="15" spans="2:24" s="38" customFormat="1" ht="20.100000000000001" customHeight="1" x14ac:dyDescent="0.3">
      <c r="B15" s="185" t="s">
        <v>25</v>
      </c>
      <c r="C15" s="186"/>
      <c r="D15" s="148">
        <v>0</v>
      </c>
      <c r="E15" s="149"/>
      <c r="G15" s="62" t="s">
        <v>60</v>
      </c>
      <c r="H15" s="63" t="s">
        <v>32</v>
      </c>
      <c r="I15" s="4">
        <f>D8-2</f>
        <v>1798</v>
      </c>
      <c r="J15" s="5">
        <v>1</v>
      </c>
      <c r="K15" s="38">
        <v>0.75800000000000001</v>
      </c>
      <c r="L15" s="64">
        <f>I15*K15*J15/1000</f>
        <v>1.362884</v>
      </c>
      <c r="X15" s="38" t="s">
        <v>77</v>
      </c>
    </row>
    <row r="16" spans="2:24" s="38" customFormat="1" ht="20.100000000000001" customHeight="1" x14ac:dyDescent="0.3">
      <c r="B16" s="185" t="s">
        <v>26</v>
      </c>
      <c r="C16" s="186"/>
      <c r="D16" s="148">
        <v>0</v>
      </c>
      <c r="E16" s="149"/>
      <c r="G16" s="62" t="s">
        <v>61</v>
      </c>
      <c r="H16" s="63" t="s">
        <v>34</v>
      </c>
      <c r="I16" s="4">
        <f>D8-2</f>
        <v>1798</v>
      </c>
      <c r="J16" s="5">
        <v>1</v>
      </c>
      <c r="K16" s="38">
        <v>0.33700000000000002</v>
      </c>
      <c r="L16" s="64">
        <f t="shared" ref="L16:L34" si="0">I16*K16*J16/1000</f>
        <v>0.60592600000000008</v>
      </c>
      <c r="X16" s="38" t="s">
        <v>81</v>
      </c>
    </row>
    <row r="17" spans="2:24" s="38" customFormat="1" ht="20.100000000000001" customHeight="1" x14ac:dyDescent="0.3">
      <c r="B17" s="185" t="s">
        <v>23</v>
      </c>
      <c r="C17" s="186"/>
      <c r="D17" s="148">
        <v>0</v>
      </c>
      <c r="E17" s="149"/>
      <c r="G17" s="35" t="s">
        <v>62</v>
      </c>
      <c r="H17" s="63" t="s">
        <v>36</v>
      </c>
      <c r="I17" s="6">
        <f>J7</f>
        <v>2568</v>
      </c>
      <c r="J17" s="7">
        <f>D10*2</f>
        <v>4</v>
      </c>
      <c r="K17" s="38">
        <v>0.29799999999999999</v>
      </c>
      <c r="L17" s="64">
        <f t="shared" si="0"/>
        <v>3.0610560000000002</v>
      </c>
    </row>
    <row r="18" spans="2:24" s="38" customFormat="1" ht="20.100000000000001" customHeight="1" x14ac:dyDescent="0.3">
      <c r="B18" s="131" t="s">
        <v>27</v>
      </c>
      <c r="C18" s="132"/>
      <c r="D18" s="32">
        <v>140</v>
      </c>
      <c r="E18" s="34">
        <v>0</v>
      </c>
      <c r="G18" s="35" t="s">
        <v>63</v>
      </c>
      <c r="H18" s="63" t="s">
        <v>38</v>
      </c>
      <c r="I18" s="6">
        <f>J8-2*5</f>
        <v>891</v>
      </c>
      <c r="J18" s="7">
        <f>(D14+2)*D10</f>
        <v>4</v>
      </c>
      <c r="K18" s="38">
        <v>6.8000000000000005E-2</v>
      </c>
      <c r="L18" s="64">
        <f t="shared" si="0"/>
        <v>0.24235200000000001</v>
      </c>
    </row>
    <row r="19" spans="2:24" s="38" customFormat="1" ht="20.100000000000001" customHeight="1" x14ac:dyDescent="0.3">
      <c r="B19" s="131" t="s">
        <v>9</v>
      </c>
      <c r="C19" s="132"/>
      <c r="D19" s="116" t="s">
        <v>107</v>
      </c>
      <c r="E19" s="117"/>
      <c r="G19" s="35" t="s">
        <v>39</v>
      </c>
      <c r="H19" s="65" t="s">
        <v>40</v>
      </c>
      <c r="I19" s="6">
        <f>IF(J19&lt;&gt;0,I18,0)</f>
        <v>0</v>
      </c>
      <c r="J19" s="7">
        <f>D15*D10-IF(D15&gt;0,IF(E18&gt;0,D10,IF(D17&gt;0,D10,0)),0)</f>
        <v>0</v>
      </c>
      <c r="K19" s="38">
        <v>0.30499999999999999</v>
      </c>
      <c r="L19" s="64">
        <f t="shared" si="0"/>
        <v>0</v>
      </c>
    </row>
    <row r="20" spans="2:24" s="38" customFormat="1" ht="20.100000000000001" customHeight="1" x14ac:dyDescent="0.3">
      <c r="B20" s="131" t="str">
        <f>'Видимый верхний трек'!B19:C19</f>
        <v>Элемент для боковой поверхности двери</v>
      </c>
      <c r="C20" s="132"/>
      <c r="D20" s="171" t="s">
        <v>114</v>
      </c>
      <c r="E20" s="172"/>
      <c r="G20" s="35" t="s">
        <v>64</v>
      </c>
      <c r="H20" s="65" t="s">
        <v>40</v>
      </c>
      <c r="I20" s="6">
        <f>IF(J20&lt;&gt;0,I18-D18*E18-200*D17,0)</f>
        <v>0</v>
      </c>
      <c r="J20" s="7">
        <f>IF(D15&gt;0,IF(E18&gt;0,D10,IF(D17&gt;0,D10,0)),0)</f>
        <v>0</v>
      </c>
      <c r="K20" s="38">
        <v>0.30499999999999999</v>
      </c>
      <c r="L20" s="64">
        <f t="shared" si="0"/>
        <v>0</v>
      </c>
      <c r="X20" s="38" t="s">
        <v>106</v>
      </c>
    </row>
    <row r="21" spans="2:24" s="38" customFormat="1" ht="20.100000000000001" customHeight="1" thickBot="1" x14ac:dyDescent="0.35">
      <c r="B21" s="118" t="s">
        <v>129</v>
      </c>
      <c r="C21" s="119"/>
      <c r="D21" s="120" t="s">
        <v>107</v>
      </c>
      <c r="E21" s="121"/>
      <c r="G21" s="35" t="s">
        <v>57</v>
      </c>
      <c r="H21" s="65" t="s">
        <v>43</v>
      </c>
      <c r="I21" s="8">
        <f>J7-20</f>
        <v>2548</v>
      </c>
      <c r="J21" s="9">
        <f>IF(J8&lt;1000,D10*2,D10*3)</f>
        <v>4</v>
      </c>
      <c r="K21" s="38">
        <v>0.41299999999999998</v>
      </c>
      <c r="L21" s="64">
        <f t="shared" si="0"/>
        <v>4.2092959999999993</v>
      </c>
      <c r="X21" s="38" t="s">
        <v>107</v>
      </c>
    </row>
    <row r="22" spans="2:24" s="38" customFormat="1" ht="20.100000000000001" customHeight="1" thickBot="1" x14ac:dyDescent="0.35">
      <c r="G22" s="66" t="s">
        <v>65</v>
      </c>
      <c r="H22" s="67" t="s">
        <v>45</v>
      </c>
      <c r="I22" s="8">
        <f>IF(D16&lt;&gt;0,I18,0)</f>
        <v>0</v>
      </c>
      <c r="J22" s="9">
        <f>D16*D10</f>
        <v>0</v>
      </c>
      <c r="K22" s="38">
        <v>0.29499999999999998</v>
      </c>
      <c r="L22" s="64">
        <f t="shared" si="0"/>
        <v>0</v>
      </c>
    </row>
    <row r="23" spans="2:24" s="38" customFormat="1" ht="20.100000000000001" customHeight="1" x14ac:dyDescent="0.3">
      <c r="B23" s="181" t="s">
        <v>59</v>
      </c>
      <c r="C23" s="182"/>
      <c r="G23" s="35" t="s">
        <v>58</v>
      </c>
      <c r="H23" s="67" t="s">
        <v>45</v>
      </c>
      <c r="I23" s="6">
        <f>IF(E18&lt;&gt;0,D18,0)</f>
        <v>0</v>
      </c>
      <c r="J23" s="7">
        <f>E18*D10</f>
        <v>0</v>
      </c>
      <c r="K23" s="38">
        <v>0.29499999999999998</v>
      </c>
      <c r="L23" s="64">
        <f t="shared" si="0"/>
        <v>0</v>
      </c>
    </row>
    <row r="24" spans="2:24" s="38" customFormat="1" ht="20.100000000000001" customHeight="1" thickBot="1" x14ac:dyDescent="0.35">
      <c r="B24" s="204" t="s">
        <v>29</v>
      </c>
      <c r="C24" s="205"/>
      <c r="E24" s="68"/>
      <c r="G24" s="35" t="s">
        <v>47</v>
      </c>
      <c r="H24" s="67" t="s">
        <v>48</v>
      </c>
      <c r="I24" s="6">
        <f>IF(OR(E18&lt;&gt;0,D16&lt;&gt;0),23,0)</f>
        <v>0</v>
      </c>
      <c r="J24" s="7">
        <f>(E18+D16)*2*D10</f>
        <v>0</v>
      </c>
      <c r="K24" s="38">
        <v>9.799999999999999E-2</v>
      </c>
      <c r="L24" s="64">
        <f t="shared" si="0"/>
        <v>0</v>
      </c>
    </row>
    <row r="25" spans="2:24" s="38" customFormat="1" ht="20.100000000000001" customHeight="1" x14ac:dyDescent="0.3">
      <c r="E25" s="68"/>
      <c r="G25" s="69" t="s">
        <v>97</v>
      </c>
      <c r="H25" s="67" t="s">
        <v>49</v>
      </c>
      <c r="I25" s="23">
        <f>IF(AND(B24='Видимый верхний трек'!S10,OR(D14&lt;&gt;0,D15&lt;&gt;0,D16&lt;&gt;0)),150,0)</f>
        <v>0</v>
      </c>
      <c r="J25" s="7">
        <f>IF(B24='Видимый верхний трек'!S10,(D14*2+J19+J20+J22)*2,0)</f>
        <v>0</v>
      </c>
      <c r="K25" s="38">
        <v>0.23499999999999996</v>
      </c>
      <c r="L25" s="64">
        <f t="shared" si="0"/>
        <v>0</v>
      </c>
    </row>
    <row r="26" spans="2:24" s="38" customFormat="1" ht="20.100000000000001" customHeight="1" x14ac:dyDescent="0.3">
      <c r="B26" s="191" t="s">
        <v>15</v>
      </c>
      <c r="C26" s="191"/>
      <c r="D26" s="191"/>
      <c r="E26" s="47"/>
      <c r="G26" s="69" t="s">
        <v>97</v>
      </c>
      <c r="H26" s="67" t="s">
        <v>49</v>
      </c>
      <c r="I26" s="6">
        <f>IF(AND(B24='Видимый верхний трек'!S10,OR(D14&lt;&gt;0,D15&lt;&gt;0,D16&lt;&gt;0),J8&lt;1000),J8-45-300-80,0)</f>
        <v>0</v>
      </c>
      <c r="J26" s="7">
        <f>IF(AND(J8&lt;1000,B24='Видимый верхний трек'!S10),(D15+D14+D16)*D10,0)</f>
        <v>0</v>
      </c>
      <c r="K26" s="38">
        <v>0.23499999999999996</v>
      </c>
      <c r="L26" s="64">
        <f t="shared" si="0"/>
        <v>0</v>
      </c>
    </row>
    <row r="27" spans="2:24" s="38" customFormat="1" ht="20.100000000000001" customHeight="1" x14ac:dyDescent="0.3">
      <c r="G27" s="69" t="s">
        <v>97</v>
      </c>
      <c r="H27" s="67" t="s">
        <v>49</v>
      </c>
      <c r="I27" s="6">
        <f>IF(AND(B24='Видимый верхний трек'!S10,OR(D14&lt;&gt;0,D15&lt;&gt;0,D16&lt;&gt;0),J8&gt;=1000),(J8-45-300-120)/2,0)</f>
        <v>0</v>
      </c>
      <c r="J27" s="7">
        <f>IF(AND(J8&gt;=1000,B24='Видимый верхний трек'!S10),(D15+D14+D16)*D10*2,0)</f>
        <v>0</v>
      </c>
      <c r="K27" s="38">
        <v>0.23499999999999996</v>
      </c>
      <c r="L27" s="64">
        <f t="shared" si="0"/>
        <v>0</v>
      </c>
    </row>
    <row r="28" spans="2:24" s="38" customFormat="1" ht="20.100000000000001" customHeight="1" thickBot="1" x14ac:dyDescent="0.35">
      <c r="G28" s="69" t="s">
        <v>83</v>
      </c>
      <c r="H28" s="67" t="s">
        <v>79</v>
      </c>
      <c r="I28" s="23">
        <f>IF(OR(AND(C37='Видимый верхний трек'!S16,D37&lt;&gt;0),C33='Видимый верхний трек'!S16),J12-2-75,0)</f>
        <v>820</v>
      </c>
      <c r="J28" s="24">
        <f>IF(OR(AND(C33='Видимый верхний трек'!S16,D37=0),AND(C37='Видимый верхний трек'!S16,D37&lt;&gt;0,C33='Видимый верхний трек'!S16,D33&lt;&gt;0)),2,IF(OR(C33='Видимый верхний трек'!S16,AND(C37='Видимый верхний трек'!S16,D37&lt;&gt;0)),1,0))*D10</f>
        <v>4</v>
      </c>
      <c r="K28" s="38">
        <v>0.60799999999999998</v>
      </c>
      <c r="L28" s="64">
        <f t="shared" si="0"/>
        <v>1.99424</v>
      </c>
    </row>
    <row r="29" spans="2:24" s="38" customFormat="1" ht="20.100000000000001" customHeight="1" thickBot="1" x14ac:dyDescent="0.35">
      <c r="B29" s="70" t="s">
        <v>90</v>
      </c>
      <c r="C29" s="71">
        <f>SUM(D14:D16)+1</f>
        <v>1</v>
      </c>
      <c r="D29" s="174" t="str">
        <f>IF(C29&gt;5,'Видимый верхний трек'!S37,'Видимый верхний трек'!S38)</f>
        <v xml:space="preserve"> </v>
      </c>
      <c r="E29" s="175"/>
      <c r="G29" s="69" t="s">
        <v>84</v>
      </c>
      <c r="H29" s="67" t="s">
        <v>78</v>
      </c>
      <c r="I29" s="23">
        <f>IF(OR(AND(C33='Видимый верхний трек'!S16,D33&lt;&gt;0),AND(C34='Видимый верхний трек'!S16,D34&lt;&gt;0),AND(C35='Видимый верхний трек'!S16,D35&lt;&gt;0),AND(C36='Видимый верхний трек'!S16,D36&lt;&gt;0),AND(C37='Видимый верхний трек'!S16,D37&lt;&gt;0)),J12-2-75,0)</f>
        <v>820</v>
      </c>
      <c r="J29" s="24">
        <f>IF(I29&lt;&gt;0,(IF(AND(D37&lt;&gt;0,C33='Видимый верхний трек'!S16),1,0)+IF(AND(C33='Видимый верхний трек'!S16,D33&gt;=1000,D33&lt;1500),1,0)+IF(AND(C33='Видимый верхний трек'!S16,D33&gt;=1500,D33&lt;2000),2,0)+IF(AND(C33='Видимый верхний трек'!S16,D33&gt;=2000),3,0)+IF(AND(D34&lt;&gt;0,C34='Видимый верхний трек'!S16),2,0)+IF(AND(C34='Видимый верхний трек'!S16,D34&gt;=1000,D34&lt;1500),1,0)+IF(AND(C34='Видимый верхний трек'!S16,D34&gt;=1500,D34&lt;2000),2,0)+IF(AND(C34='Видимый верхний трек'!S16,D34&gt;=2000),3,0)+IF(AND(D35&lt;&gt;0,C35='Видимый верхний трек'!S16),2,0)+IF(AND(C35='Видимый верхний трек'!S16,D35&gt;=1000,D35&lt;1500),1,0)+IF(AND(C35='Видимый верхний трек'!S16,D35&gt;=1500,D35&lt;2000),2,0)+IF(AND(C35='Видимый верхний трек'!S16,D35&gt;=2000),3,0)+IF(AND(D36&lt;&gt;0,C36='Видимый верхний трек'!S16),2,0)+IF(AND(C36='Видимый верхний трек'!S16,D36&gt;=1000,D36&lt;1500),1,0)+IF(AND(C36='Видимый верхний трек'!S16,D36&gt;=1500,D36&lt;2000),2,0)+IF(AND(C36='Видимый верхний трек'!S16,D36&gt;=2000),3,0)+IF(AND(D37&lt;&gt;0,C37='Видимый верхний трек'!S16),1,0)+IF(AND(C37='Видимый верхний трек'!S16,D37&gt;=1000,D37&lt;1500),1,0)+IF(AND(C37='Видимый верхний трек'!S16,D37&gt;=1500,D37&lt;2000),2,0)+IF(AND(C37='Видимый верхний трек'!S16,D37&gt;=2000),3,0))*D10,0)</f>
        <v>6</v>
      </c>
      <c r="K29" s="38">
        <v>0.30499999999999999</v>
      </c>
      <c r="L29" s="64">
        <f t="shared" si="0"/>
        <v>1.5005999999999999</v>
      </c>
    </row>
    <row r="30" spans="2:24" s="38" customFormat="1" ht="20.100000000000001" customHeight="1" x14ac:dyDescent="0.3">
      <c r="B30" s="70"/>
      <c r="C30" s="55"/>
      <c r="D30" s="72"/>
      <c r="E30" s="47"/>
      <c r="G30" s="69" t="s">
        <v>85</v>
      </c>
      <c r="H30" s="67" t="s">
        <v>78</v>
      </c>
      <c r="I30" s="23">
        <f>IF(C33='Видимый верхний трек'!S16,D33,0)</f>
        <v>2561</v>
      </c>
      <c r="J30" s="24">
        <f>IF(I30&lt;&gt;0,IF(C33='Видимый верхний трек'!S16,2,0)*D10,0)</f>
        <v>4</v>
      </c>
      <c r="K30" s="38">
        <v>0.30499999999999999</v>
      </c>
      <c r="L30" s="64">
        <f t="shared" si="0"/>
        <v>3.1244200000000002</v>
      </c>
    </row>
    <row r="31" spans="2:24" s="38" customFormat="1" ht="20.100000000000001" customHeight="1" thickBot="1" x14ac:dyDescent="0.35">
      <c r="G31" s="69" t="s">
        <v>86</v>
      </c>
      <c r="H31" s="67" t="s">
        <v>78</v>
      </c>
      <c r="I31" s="23">
        <f>IF(C34='Видимый верхний трек'!S16,D34,0)</f>
        <v>0</v>
      </c>
      <c r="J31" s="24">
        <f>IF(I31&lt;&gt;0,IF(C34='Видимый верхний трек'!S16,2,0)*D10,0)</f>
        <v>0</v>
      </c>
      <c r="K31" s="38">
        <v>0.30499999999999999</v>
      </c>
      <c r="L31" s="64">
        <f t="shared" si="0"/>
        <v>0</v>
      </c>
    </row>
    <row r="32" spans="2:24" s="38" customFormat="1" ht="20.100000000000001" customHeight="1" x14ac:dyDescent="0.3">
      <c r="B32" s="73" t="s">
        <v>70</v>
      </c>
      <c r="C32" s="74" t="s">
        <v>74</v>
      </c>
      <c r="D32" s="74" t="s">
        <v>75</v>
      </c>
      <c r="E32" s="75" t="s">
        <v>76</v>
      </c>
      <c r="G32" s="69" t="s">
        <v>87</v>
      </c>
      <c r="H32" s="67" t="s">
        <v>78</v>
      </c>
      <c r="I32" s="23">
        <f>IF(C35='Видимый верхний трек'!S16,D35,0)</f>
        <v>0</v>
      </c>
      <c r="J32" s="24">
        <f>IF(I32&lt;&gt;0,IF(C35='Видимый верхний трек'!S16,2,0)*D10,0)</f>
        <v>0</v>
      </c>
      <c r="K32" s="38">
        <v>0.30499999999999999</v>
      </c>
      <c r="L32" s="64">
        <f t="shared" si="0"/>
        <v>0</v>
      </c>
    </row>
    <row r="33" spans="2:24" s="38" customFormat="1" ht="20.100000000000001" customHeight="1" x14ac:dyDescent="0.3">
      <c r="B33" s="35" t="s">
        <v>91</v>
      </c>
      <c r="C33" s="22" t="s">
        <v>81</v>
      </c>
      <c r="D33" s="26">
        <f>J11-SUM(D34:D37)</f>
        <v>2561</v>
      </c>
      <c r="E33" s="76">
        <f>IF(C33='Видимый верхний трек'!S16,$J$12-2,$J$12)</f>
        <v>895</v>
      </c>
      <c r="F33" s="77">
        <f>IF(D33&lt;&gt;0,1,0)</f>
        <v>1</v>
      </c>
      <c r="G33" s="69" t="s">
        <v>88</v>
      </c>
      <c r="H33" s="67" t="s">
        <v>78</v>
      </c>
      <c r="I33" s="23">
        <f>IF(C36='Видимый верхний трек'!S16,D36,0)</f>
        <v>0</v>
      </c>
      <c r="J33" s="24">
        <f>IF(I33&lt;&gt;0,IF(C36='Видимый верхний трек'!S16,2,0)*D10,0)</f>
        <v>0</v>
      </c>
      <c r="K33" s="38">
        <v>0.30499999999999999</v>
      </c>
      <c r="L33" s="64">
        <f t="shared" si="0"/>
        <v>0</v>
      </c>
      <c r="X33" s="38" t="s">
        <v>93</v>
      </c>
    </row>
    <row r="34" spans="2:24" s="38" customFormat="1" ht="20.100000000000001" customHeight="1" thickBot="1" x14ac:dyDescent="0.35">
      <c r="B34" s="35" t="s">
        <v>71</v>
      </c>
      <c r="C34" s="22" t="s">
        <v>77</v>
      </c>
      <c r="D34" s="25">
        <v>0</v>
      </c>
      <c r="E34" s="76">
        <f>IF(C34='Видимый верхний трек'!S16,$J$12-2,$J$12)</f>
        <v>897</v>
      </c>
      <c r="F34" s="77">
        <f t="shared" ref="F34:F37" si="1">IF(D34&lt;&gt;0,1,0)</f>
        <v>0</v>
      </c>
      <c r="G34" s="69" t="s">
        <v>89</v>
      </c>
      <c r="H34" s="67" t="s">
        <v>78</v>
      </c>
      <c r="I34" s="23">
        <f>IF(C37='Видимый верхний трек'!S16,D37,0)</f>
        <v>0</v>
      </c>
      <c r="J34" s="24">
        <f>IF(I34&lt;&gt;0,IF(C37='Видимый верхний трек'!S16,2,0)*D10,0)</f>
        <v>0</v>
      </c>
      <c r="K34" s="38">
        <v>0.30499999999999999</v>
      </c>
      <c r="L34" s="64">
        <f t="shared" si="0"/>
        <v>0</v>
      </c>
      <c r="X34" s="38" t="s">
        <v>94</v>
      </c>
    </row>
    <row r="35" spans="2:24" s="38" customFormat="1" ht="20.100000000000001" customHeight="1" thickBot="1" x14ac:dyDescent="0.3">
      <c r="B35" s="35" t="s">
        <v>72</v>
      </c>
      <c r="C35" s="22" t="s">
        <v>77</v>
      </c>
      <c r="D35" s="25">
        <v>0</v>
      </c>
      <c r="E35" s="76">
        <f>IF(C35='Видимый верхний трек'!S16,$J$12-2,$J$12)</f>
        <v>897</v>
      </c>
      <c r="F35" s="77">
        <f t="shared" si="1"/>
        <v>0</v>
      </c>
      <c r="G35" s="78"/>
      <c r="H35" s="79"/>
      <c r="I35" s="80"/>
      <c r="J35" s="81"/>
      <c r="L35" s="82">
        <f>SUM(L15:L34)/D10</f>
        <v>8.0503870000000006</v>
      </c>
    </row>
    <row r="36" spans="2:24" s="38" customFormat="1" ht="20.100000000000001" customHeight="1" x14ac:dyDescent="0.25">
      <c r="B36" s="35" t="s">
        <v>73</v>
      </c>
      <c r="C36" s="22" t="s">
        <v>77</v>
      </c>
      <c r="D36" s="25">
        <v>0</v>
      </c>
      <c r="E36" s="76">
        <f>IF(C36='Видимый верхний трек'!S16,$J$12-2,$J$12)</f>
        <v>897</v>
      </c>
      <c r="F36" s="77">
        <f t="shared" si="1"/>
        <v>0</v>
      </c>
      <c r="G36" s="83" t="s">
        <v>8</v>
      </c>
      <c r="H36" s="60" t="s">
        <v>30</v>
      </c>
      <c r="I36" s="208" t="s">
        <v>4</v>
      </c>
      <c r="J36" s="209"/>
    </row>
    <row r="37" spans="2:24" s="38" customFormat="1" ht="20.100000000000001" customHeight="1" thickBot="1" x14ac:dyDescent="0.3">
      <c r="B37" s="84" t="s">
        <v>92</v>
      </c>
      <c r="C37" s="27" t="s">
        <v>77</v>
      </c>
      <c r="D37" s="28">
        <v>0</v>
      </c>
      <c r="E37" s="85">
        <f>IF(C37='Видимый верхний трек'!S16,$J$12-2,$J$12)</f>
        <v>897</v>
      </c>
      <c r="F37" s="77">
        <f t="shared" si="1"/>
        <v>0</v>
      </c>
      <c r="G37" s="35" t="s">
        <v>51</v>
      </c>
      <c r="H37" s="65" t="s">
        <v>52</v>
      </c>
      <c r="I37" s="210">
        <f>IF(J8&gt;=1000,D10*1.5,D10)</f>
        <v>2</v>
      </c>
      <c r="J37" s="211"/>
      <c r="L37" s="38">
        <f>IF(C33=$X$15,D33*E33/1000000*13,IF(C33=$X$16,D33*E33/1000000*11))</f>
        <v>25.213045000000001</v>
      </c>
      <c r="X37" s="38" t="s">
        <v>95</v>
      </c>
    </row>
    <row r="38" spans="2:24" s="38" customFormat="1" ht="20.100000000000001" customHeight="1" x14ac:dyDescent="0.25">
      <c r="G38" s="35" t="s">
        <v>125</v>
      </c>
      <c r="H38" s="65" t="s">
        <v>127</v>
      </c>
      <c r="I38" s="168">
        <f>ROUNDUP(IF(D9=X45,2+D12,IF(OR(D9=X46,D9=X47,D9=X48),4+D12,6+D12))/2,0)</f>
        <v>1</v>
      </c>
      <c r="J38" s="170"/>
      <c r="L38" s="38">
        <f t="shared" ref="L38:L41" si="2">IF(C34=$X$15,D34*E34/1000000*13,IF(C34=$X$16,D34*E34/1000000*11))</f>
        <v>0</v>
      </c>
      <c r="X38" s="38" t="s">
        <v>16</v>
      </c>
    </row>
    <row r="39" spans="2:24" s="38" customFormat="1" ht="20.100000000000001" customHeight="1" x14ac:dyDescent="0.25">
      <c r="C39" s="37" t="str">
        <f>IF((SUM(F33:F37)/C29)&lt;&gt;1,'Видимый верхний трек'!S33,'Видимый верхний трек'!S34)</f>
        <v>Верно внесены высоты вставок</v>
      </c>
      <c r="D39" s="47">
        <f>IF(C39='Видимый верхний трек'!S34,1,0)</f>
        <v>1</v>
      </c>
      <c r="G39" s="35" t="s">
        <v>126</v>
      </c>
      <c r="H39" s="65" t="s">
        <v>128</v>
      </c>
      <c r="I39" s="168">
        <f>ROUNDUP(IF(OR(D9=X45,D9=X46),2+D13,4+D13)/2,0)</f>
        <v>1</v>
      </c>
      <c r="J39" s="170"/>
      <c r="L39" s="38">
        <f t="shared" si="2"/>
        <v>0</v>
      </c>
      <c r="X39" s="38" t="s">
        <v>96</v>
      </c>
    </row>
    <row r="40" spans="2:24" s="38" customFormat="1" ht="20.100000000000001" customHeight="1" x14ac:dyDescent="0.25">
      <c r="G40" s="35" t="s">
        <v>53</v>
      </c>
      <c r="H40" s="65" t="s">
        <v>54</v>
      </c>
      <c r="I40" s="212">
        <f>D17*D10</f>
        <v>0</v>
      </c>
      <c r="J40" s="213"/>
      <c r="L40" s="38">
        <f t="shared" si="2"/>
        <v>0</v>
      </c>
      <c r="X40" s="38" t="s">
        <v>16</v>
      </c>
    </row>
    <row r="41" spans="2:24" s="38" customFormat="1" ht="20.100000000000001" customHeight="1" thickBot="1" x14ac:dyDescent="0.35">
      <c r="C41" s="173" t="str">
        <f>IF(OR(AND(C33='Видимый верхний трек'!S16,D33&lt;130,D33&lt;&gt;0),AND(C34='Видимый верхний трек'!S16,D34&lt;130,D34&lt;&gt;0),AND(C35='Видимый верхний трек'!S16,D35&lt;130,D35&lt;&gt;0),AND(C36='Видимый верхний трек'!S16,D36&lt;130,D36&lt;&gt;0),AND(C37='Видимый верхний трек'!S16,D37&lt;130,D37&lt;&gt;0)),'Видимый верхний трек'!S39,'Видимый верхний трек'!S40)</f>
        <v xml:space="preserve"> </v>
      </c>
      <c r="D41" s="173"/>
      <c r="G41" s="35" t="s">
        <v>131</v>
      </c>
      <c r="H41" s="36" t="s">
        <v>117</v>
      </c>
      <c r="I41" s="178">
        <f>IF(L45&lt;30,ROUNDUP(SUM(D12:E13)/2,0),0)</f>
        <v>0</v>
      </c>
      <c r="J41" s="179"/>
      <c r="L41" s="38">
        <f t="shared" si="2"/>
        <v>0</v>
      </c>
      <c r="X41" s="41"/>
    </row>
    <row r="42" spans="2:24" s="38" customFormat="1" ht="20.100000000000001" customHeight="1" thickBot="1" x14ac:dyDescent="0.35">
      <c r="G42" s="35" t="s">
        <v>131</v>
      </c>
      <c r="H42" s="36" t="s">
        <v>118</v>
      </c>
      <c r="I42" s="178">
        <f>IF(AND(L45&gt;=30,L45&lt;50),ROUNDUP(SUM(D12:E13)/2,0),0)</f>
        <v>0</v>
      </c>
      <c r="J42" s="179"/>
      <c r="K42" s="41"/>
      <c r="L42" s="86">
        <f>SUM(L37:L41)</f>
        <v>25.213045000000001</v>
      </c>
      <c r="X42" s="41"/>
    </row>
    <row r="43" spans="2:24" s="38" customFormat="1" ht="20.100000000000001" customHeight="1" x14ac:dyDescent="0.3">
      <c r="C43" s="198" t="str">
        <f>IF(AND(SUM(F33:F37)/C29=1,D37=0,C29&lt;&gt;1),'Видимый верхний трек'!S52,'Видимый верхний трек'!S53)</f>
        <v xml:space="preserve"> </v>
      </c>
      <c r="D43" s="198"/>
      <c r="E43" s="87"/>
      <c r="G43" s="35" t="s">
        <v>131</v>
      </c>
      <c r="H43" s="36" t="s">
        <v>119</v>
      </c>
      <c r="I43" s="178">
        <f>IF(AND(L45&gt;=50,L45&lt;70),ROUNDUP(SUM(D12:E13)/2,0),0)</f>
        <v>0</v>
      </c>
      <c r="J43" s="179"/>
      <c r="K43" s="41"/>
      <c r="L43" s="41"/>
      <c r="X43" s="41"/>
    </row>
    <row r="44" spans="2:24" s="38" customFormat="1" ht="20.100000000000001" customHeight="1" thickBot="1" x14ac:dyDescent="0.35">
      <c r="E44" s="87"/>
      <c r="G44" s="88" t="s">
        <v>137</v>
      </c>
      <c r="H44" s="89" t="s">
        <v>55</v>
      </c>
      <c r="I44" s="214">
        <f>D10*2-D12-D13</f>
        <v>4</v>
      </c>
      <c r="J44" s="215"/>
      <c r="K44" s="41"/>
      <c r="L44" s="41"/>
      <c r="X44" s="41"/>
    </row>
    <row r="45" spans="2:24" s="38" customFormat="1" ht="20.100000000000001" customHeight="1" thickBot="1" x14ac:dyDescent="0.35">
      <c r="E45" s="87"/>
      <c r="G45" s="35" t="s">
        <v>22</v>
      </c>
      <c r="H45" s="33" t="s">
        <v>113</v>
      </c>
      <c r="I45" s="216">
        <f>CEILING(J17*J7/1000,1)</f>
        <v>11</v>
      </c>
      <c r="J45" s="217"/>
      <c r="K45" s="41"/>
      <c r="L45" s="90">
        <f>(L35+L42)*1.05</f>
        <v>34.9266036</v>
      </c>
      <c r="X45" s="91" t="s">
        <v>98</v>
      </c>
    </row>
    <row r="46" spans="2:24" s="38" customFormat="1" ht="20.100000000000001" customHeight="1" x14ac:dyDescent="0.25">
      <c r="C46" s="203" t="s">
        <v>13</v>
      </c>
      <c r="D46" s="92"/>
      <c r="E46" s="87"/>
      <c r="G46" s="35" t="s">
        <v>120</v>
      </c>
      <c r="H46" s="33" t="s">
        <v>113</v>
      </c>
      <c r="I46" s="137">
        <f>IF(D20=X57,CEILING(I17*J17/1000,1),0)</f>
        <v>11</v>
      </c>
      <c r="J46" s="138"/>
      <c r="X46" s="91" t="s">
        <v>99</v>
      </c>
    </row>
    <row r="47" spans="2:24" s="38" customFormat="1" ht="20.100000000000001" customHeight="1" x14ac:dyDescent="0.25">
      <c r="C47" s="203"/>
      <c r="D47" s="92"/>
      <c r="G47" s="35" t="s">
        <v>108</v>
      </c>
      <c r="H47" s="67" t="s">
        <v>121</v>
      </c>
      <c r="I47" s="137">
        <f>IF(D20=X58,CEILING(I17*J17/1000,1),0)</f>
        <v>0</v>
      </c>
      <c r="J47" s="165"/>
      <c r="X47" s="91" t="s">
        <v>100</v>
      </c>
    </row>
    <row r="48" spans="2:24" s="38" customFormat="1" ht="20.100000000000001" customHeight="1" x14ac:dyDescent="0.25">
      <c r="F48" s="93"/>
      <c r="G48" s="35" t="s">
        <v>9</v>
      </c>
      <c r="H48" s="65" t="s">
        <v>56</v>
      </c>
      <c r="I48" s="216">
        <f>CEILING(I16*2/1000,1)</f>
        <v>4</v>
      </c>
      <c r="J48" s="217"/>
      <c r="X48" s="91" t="s">
        <v>101</v>
      </c>
    </row>
    <row r="49" spans="2:24" ht="20.100000000000001" customHeight="1" x14ac:dyDescent="0.3">
      <c r="B49" s="38"/>
      <c r="C49" s="203" t="s">
        <v>21</v>
      </c>
      <c r="D49" s="92"/>
      <c r="E49" s="38"/>
      <c r="F49" s="94"/>
      <c r="G49" s="95" t="s">
        <v>29</v>
      </c>
      <c r="H49" s="63" t="s">
        <v>50</v>
      </c>
      <c r="I49" s="212">
        <f>IF(B24='Видимый верхний трек'!S11,ROUND((D17+E18)*D10*4+(J8/300+1)*((D16+D15+D14)*2),1),0)</f>
        <v>0</v>
      </c>
      <c r="J49" s="213"/>
      <c r="X49" s="91" t="s">
        <v>102</v>
      </c>
    </row>
    <row r="50" spans="2:24" ht="20.100000000000001" customHeight="1" x14ac:dyDescent="0.3">
      <c r="B50" s="38"/>
      <c r="C50" s="203"/>
      <c r="D50" s="92"/>
      <c r="E50" s="38"/>
      <c r="F50" s="94"/>
      <c r="G50" s="95" t="s">
        <v>80</v>
      </c>
      <c r="H50" s="63" t="s">
        <v>82</v>
      </c>
      <c r="I50" s="218">
        <f>J28*4+J29*2</f>
        <v>28</v>
      </c>
      <c r="J50" s="219"/>
    </row>
    <row r="51" spans="2:24" ht="20.100000000000001" customHeight="1" x14ac:dyDescent="0.3">
      <c r="B51" s="38"/>
      <c r="C51" s="203"/>
      <c r="D51" s="92"/>
      <c r="E51" s="38"/>
      <c r="F51" s="94"/>
      <c r="G51" s="96" t="s">
        <v>109</v>
      </c>
      <c r="H51" s="67" t="s">
        <v>105</v>
      </c>
      <c r="I51" s="194">
        <f>CEILING(SUM(I31*J31,I32*J32,I33*J33,I34*J34,I30*J30)/1000,1)</f>
        <v>11</v>
      </c>
      <c r="J51" s="195"/>
      <c r="X51" s="97"/>
    </row>
    <row r="52" spans="2:24" ht="20.100000000000001" customHeight="1" x14ac:dyDescent="0.3">
      <c r="B52" s="122" t="s">
        <v>111</v>
      </c>
      <c r="C52" s="203"/>
      <c r="D52" s="92"/>
      <c r="E52" s="38"/>
      <c r="F52" s="38"/>
      <c r="G52" s="35" t="s">
        <v>129</v>
      </c>
      <c r="H52" s="36" t="s">
        <v>130</v>
      </c>
      <c r="I52" s="133">
        <f>IF(D21=X20,D11,0)</f>
        <v>0</v>
      </c>
      <c r="J52" s="145"/>
      <c r="X52" s="41" t="s">
        <v>110</v>
      </c>
    </row>
    <row r="53" spans="2:24" ht="20.100000000000001" customHeight="1" x14ac:dyDescent="0.3">
      <c r="B53" s="122"/>
      <c r="C53" s="203"/>
      <c r="D53" s="92"/>
      <c r="F53" s="38"/>
      <c r="G53" s="35" t="s">
        <v>66</v>
      </c>
      <c r="H53" s="65"/>
      <c r="I53" s="212">
        <f>I18*J18/250</f>
        <v>14.256</v>
      </c>
      <c r="J53" s="213"/>
      <c r="X53" s="41" t="s">
        <v>16</v>
      </c>
    </row>
    <row r="54" spans="2:24" ht="21" customHeight="1" x14ac:dyDescent="0.3">
      <c r="B54" s="122"/>
      <c r="C54" s="92"/>
      <c r="D54" s="92"/>
      <c r="E54" s="38"/>
      <c r="F54" s="38"/>
      <c r="G54" s="69" t="s">
        <v>67</v>
      </c>
      <c r="H54" s="65"/>
      <c r="I54" s="212">
        <f>IF(C33='Видимый верхний трек'!S15,(D33/250)*2*D10+IF(D37&lt;&gt;0,(E33/250)*D10,0)+I38*8+(D33/300)*2*J21,0)+IF(AND(C34='Видимый верхний трек'!S15,D34&lt;&gt;0),(D34/250)*2*D10+(E34/250)*D10*2+(D34/300)*2*J21,0)+IF(AND(C35='Видимый верхний трек'!S15,D35&lt;&gt;0),(D35/250)*2*D10+(E35/250)*D10*2+(D35/300)*2*J21,0)+IF(AND(C36='Видимый верхний трек'!S15,D36&lt;&gt;0),(D36/250)*2*D10+(E36/250)*D10*2+(D36/300)*2*J21,0)+IF(AND(C37='Видимый верхний трек'!S15,D37&lt;&gt;0),(D37/250)*2*D10+(E37/250)*D10*2+(D37/300)*2*J21+I37*8,0)+I19*J19/250+I20*J20/250</f>
        <v>0</v>
      </c>
      <c r="J54" s="213"/>
    </row>
    <row r="55" spans="2:24" ht="20.100000000000001" customHeight="1" x14ac:dyDescent="0.3">
      <c r="C55" s="38"/>
      <c r="D55" s="38"/>
      <c r="E55" s="38"/>
      <c r="F55" s="38"/>
      <c r="G55" s="35" t="s">
        <v>68</v>
      </c>
      <c r="H55" s="65"/>
      <c r="I55" s="212">
        <f>J24*2</f>
        <v>0</v>
      </c>
      <c r="J55" s="213"/>
    </row>
    <row r="56" spans="2:24" ht="21.75" customHeight="1" thickBot="1" x14ac:dyDescent="0.35">
      <c r="G56" s="42" t="s">
        <v>69</v>
      </c>
      <c r="H56" s="98"/>
      <c r="I56" s="206">
        <f>(J23*2+I22*J22/250+D17*2*D10)+IF(C33='Видимый верхний трек'!S16,(D33/250)*2*D10+IF(D37&lt;&gt;0,(E33/250)*D10,0)+I38*8+(D33/300)*2*J21,0)+IF(AND(C34='Видимый верхний трек'!S16,D34&lt;&gt;0),(D34/250)*2*D10+(E34/250)*D10*2+(D34/300)*2*J21,0)+IF(AND(C35='Видимый верхний трек'!S16,D35&lt;&gt;0),(D35/250)*2*D10+(E35/250)*D10*2+(D35/300)*2*J21,0)+IF(AND(C36='Видимый верхний трек'!S16,D36&lt;&gt;0),(D36/250)*2*D10+(E36/250)*D10*2+(D36/300)*2*J21,0)+IF(AND(C37='Видимый верхний трек'!S16,D37&lt;&gt;0),(D37/250)*2*D10+(E37/250)*D10*2+(D37/300)*2*J21+I37*8,0)</f>
        <v>117.26933333333334</v>
      </c>
      <c r="J56" s="207"/>
      <c r="X56" s="41" t="s">
        <v>107</v>
      </c>
    </row>
    <row r="57" spans="2:24" ht="18" customHeight="1" thickBot="1" x14ac:dyDescent="0.35">
      <c r="X57" s="41" t="s">
        <v>114</v>
      </c>
    </row>
    <row r="58" spans="2:24" ht="19.5" thickBot="1" x14ac:dyDescent="0.35">
      <c r="D58" s="39" t="s">
        <v>122</v>
      </c>
      <c r="E58" s="40">
        <f>ROUNDUP(L45,0)</f>
        <v>35</v>
      </c>
      <c r="G58" s="41" t="s">
        <v>123</v>
      </c>
      <c r="J58" s="115" t="s">
        <v>28</v>
      </c>
      <c r="X58" s="41" t="s">
        <v>115</v>
      </c>
    </row>
    <row r="82" spans="4:7" x14ac:dyDescent="0.3">
      <c r="G82" s="97"/>
    </row>
    <row r="89" spans="4:7" x14ac:dyDescent="0.3">
      <c r="D89" s="41"/>
      <c r="E89" s="41"/>
    </row>
  </sheetData>
  <sheetProtection algorithmName="SHA-512" hashValue="204UQqTiOyhAs/aEvTYCEYXt5WF3ZnTDWRnLEkSBAxOGykbUnbBfTi6HbFXVNw7NxyMt8XqpGAKvoihbowKElw==" saltValue="/oTrwMMV5FsjteWUXhnsaQ==" spinCount="100000" sheet="1" objects="1" scenarios="1" selectLockedCells="1"/>
  <mergeCells count="64">
    <mergeCell ref="I56:J56"/>
    <mergeCell ref="I36:J36"/>
    <mergeCell ref="I37:J37"/>
    <mergeCell ref="I49:J49"/>
    <mergeCell ref="I44:J44"/>
    <mergeCell ref="I45:J45"/>
    <mergeCell ref="I48:J48"/>
    <mergeCell ref="I40:J40"/>
    <mergeCell ref="I38:J38"/>
    <mergeCell ref="I54:J54"/>
    <mergeCell ref="I55:J55"/>
    <mergeCell ref="I51:J51"/>
    <mergeCell ref="I50:J50"/>
    <mergeCell ref="I53:J53"/>
    <mergeCell ref="I52:J52"/>
    <mergeCell ref="I47:J47"/>
    <mergeCell ref="B12:C12"/>
    <mergeCell ref="B14:C14"/>
    <mergeCell ref="D8:E8"/>
    <mergeCell ref="G7:H8"/>
    <mergeCell ref="D16:E16"/>
    <mergeCell ref="D14:E14"/>
    <mergeCell ref="D15:E15"/>
    <mergeCell ref="D11:E11"/>
    <mergeCell ref="D12:E12"/>
    <mergeCell ref="G11:H12"/>
    <mergeCell ref="D13:E13"/>
    <mergeCell ref="D7:E7"/>
    <mergeCell ref="B7:C7"/>
    <mergeCell ref="B9:C9"/>
    <mergeCell ref="D9:E9"/>
    <mergeCell ref="D10:E10"/>
    <mergeCell ref="B2:J3"/>
    <mergeCell ref="B5:E5"/>
    <mergeCell ref="B8:C8"/>
    <mergeCell ref="B10:C10"/>
    <mergeCell ref="B11:C11"/>
    <mergeCell ref="G5:J5"/>
    <mergeCell ref="B52:B54"/>
    <mergeCell ref="B15:C15"/>
    <mergeCell ref="B16:C16"/>
    <mergeCell ref="B17:C17"/>
    <mergeCell ref="B18:C18"/>
    <mergeCell ref="B23:C23"/>
    <mergeCell ref="B24:C24"/>
    <mergeCell ref="C43:D43"/>
    <mergeCell ref="C41:D41"/>
    <mergeCell ref="D29:E29"/>
    <mergeCell ref="B26:D26"/>
    <mergeCell ref="D17:E17"/>
    <mergeCell ref="C49:C53"/>
    <mergeCell ref="B13:C13"/>
    <mergeCell ref="I41:J41"/>
    <mergeCell ref="I42:J42"/>
    <mergeCell ref="I43:J43"/>
    <mergeCell ref="I46:J46"/>
    <mergeCell ref="B19:C19"/>
    <mergeCell ref="D19:E19"/>
    <mergeCell ref="B21:C21"/>
    <mergeCell ref="D21:E21"/>
    <mergeCell ref="I39:J39"/>
    <mergeCell ref="C46:C47"/>
    <mergeCell ref="B20:C20"/>
    <mergeCell ref="D20:E20"/>
  </mergeCells>
  <conditionalFormatting sqref="D13:E13">
    <cfRule type="expression" dxfId="6" priority="1">
      <formula>OR(AND(OR(D9=X46,D9=X45),D13&gt;2),AND(OR(D9=X47,D9=X48,D9=X49),D13&gt;4))</formula>
    </cfRule>
  </conditionalFormatting>
  <conditionalFormatting sqref="D12:E12">
    <cfRule type="expression" dxfId="5" priority="15">
      <formula>OR(AND(D9=X45,D12&gt;2),AND(OR(D9=X46,D9=X47,D9=X48),D12&gt;4),AND(#REF!=X9,D12&gt;6))</formula>
    </cfRule>
  </conditionalFormatting>
  <dataValidations count="7">
    <dataValidation type="whole" operator="greaterThan" allowBlank="1" showInputMessage="1" showErrorMessage="1" sqref="E16 D14:D17">
      <formula1>-1</formula1>
    </dataValidation>
    <dataValidation type="whole" allowBlank="1" showInputMessage="1" showErrorMessage="1" sqref="D10:E10">
      <formula1>1</formula1>
      <formula2>5</formula2>
    </dataValidation>
    <dataValidation type="whole" allowBlank="1" showInputMessage="1" showErrorMessage="1" sqref="E18">
      <formula1>0</formula1>
      <formula2>2</formula2>
    </dataValidation>
    <dataValidation type="whole" allowBlank="1" showInputMessage="1" showErrorMessage="1" sqref="D11:E11">
      <formula1>1</formula1>
      <formula2>4</formula2>
    </dataValidation>
    <dataValidation type="list" allowBlank="1" showInputMessage="1" showErrorMessage="1" sqref="D21:E21">
      <formula1>$X$20:$X$21</formula1>
    </dataValidation>
    <dataValidation type="whole" allowBlank="1" showInputMessage="1" showErrorMessage="1" errorTitle="Неверное количество" error="Не более двух доводчиков на одну дверь." sqref="D13:E13">
      <formula1>-1</formula1>
      <formula2>IF(OR(D9=X46,D9=X45),2,4)</formula2>
    </dataValidation>
    <dataValidation type="whole" allowBlank="1" showInputMessage="1" showErrorMessage="1" errorTitle="Неверное количество" error="Не более двух доводчиков на одну дверь." sqref="D12:E12">
      <formula1>-1</formula1>
      <formula2>IF(D9=X45,2,IF(OR(D9=X46,D9=X47,D9=X48),4,6))</formula2>
    </dataValidation>
  </dataValidations>
  <hyperlinks>
    <hyperlink ref="J58" location="Оглавление!A1" display="оглавление"/>
  </hyperlinks>
  <printOptions horizontalCentered="1"/>
  <pageMargins left="0.39370078740157483" right="0.39370078740157483" top="0.39370078740157483" bottom="0.39370078740157483" header="0" footer="0"/>
  <pageSetup paperSize="9" scale="7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BF7F5488-A634-4801-8645-66B6B780B6EA}">
            <xm:f>$C$39='Видимый верхний трек'!$S$33</xm:f>
            <x14:dxf>
              <fill>
                <patternFill>
                  <bgColor rgb="FFFF0000"/>
                </patternFill>
              </fill>
            </x14:dxf>
          </x14:cfRule>
          <x14:cfRule type="expression" priority="9" id="{4EBD83DA-EDE0-4B77-9764-6F2E02A68BB5}">
            <xm:f>$C$39='Видимый верхний трек'!$S$34</xm:f>
            <x14:dxf>
              <font>
                <color auto="1"/>
              </font>
              <fill>
                <patternFill>
                  <bgColor rgb="FF92D050"/>
                </patternFill>
              </fill>
            </x14:dxf>
          </x14:cfRule>
          <xm:sqref>C39</xm:sqref>
        </x14:conditionalFormatting>
        <x14:conditionalFormatting xmlns:xm="http://schemas.microsoft.com/office/excel/2006/main">
          <x14:cfRule type="expression" priority="6" id="{96CAF0FF-8281-41D7-A8E3-0F0987AF34EB}">
            <xm:f>$D$29='Видимый верхний трек'!$S$37</xm:f>
            <x14:dxf>
              <fill>
                <patternFill>
                  <bgColor rgb="FFFF0000"/>
                </patternFill>
              </fill>
            </x14:dxf>
          </x14:cfRule>
          <xm:sqref>D30:E30 D29</xm:sqref>
        </x14:conditionalFormatting>
        <x14:conditionalFormatting xmlns:xm="http://schemas.microsoft.com/office/excel/2006/main">
          <x14:cfRule type="expression" priority="5" id="{F0A76FAD-8714-4A45-ACCF-34E78E5EF0E2}">
            <xm:f>$C$41='Видимый верхний трек'!$S$39</xm:f>
            <x14:dxf>
              <fill>
                <patternFill>
                  <bgColor rgb="FFFF0000"/>
                </patternFill>
              </fill>
            </x14:dxf>
          </x14:cfRule>
          <xm:sqref>C41</xm:sqref>
        </x14:conditionalFormatting>
        <x14:conditionalFormatting xmlns:xm="http://schemas.microsoft.com/office/excel/2006/main">
          <x14:cfRule type="iconSet" priority="7" id="{A95C81BD-99AE-4EBD-AB0E-D4CF59BF210B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D39</xm:sqref>
        </x14:conditionalFormatting>
        <x14:conditionalFormatting xmlns:xm="http://schemas.microsoft.com/office/excel/2006/main">
          <x14:cfRule type="expression" priority="3" id="{8C846B41-D67A-4624-AF67-A4676C46184D}">
            <xm:f>$C$43='Видимый верхний трек'!$S$52</xm:f>
            <x14:dxf>
              <fill>
                <patternFill>
                  <bgColor rgb="FFFF0000"/>
                </patternFill>
              </fill>
            </x14:dxf>
          </x14:cfRule>
          <xm:sqref>C43:D43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'Видимый верхний трек'!$S$10:$S$11</xm:f>
          </x14:formula1>
          <xm:sqref>B24</xm:sqref>
        </x14:dataValidation>
        <x14:dataValidation type="list" allowBlank="1" showInputMessage="1" showErrorMessage="1">
          <x14:formula1>
            <xm:f>'Видимый верхний трек'!$S$15:$S$16</xm:f>
          </x14:formula1>
          <xm:sqref>C33:C37</xm:sqref>
        </x14:dataValidation>
        <x14:dataValidation type="list" allowBlank="1" showInputMessage="1" showErrorMessage="1">
          <x14:formula1>
            <xm:f>'Видимый верхний трек'!$S$45:$S$49</xm:f>
          </x14:formula1>
          <xm:sqref>D9:E9</xm:sqref>
        </x14:dataValidation>
        <x14:dataValidation type="list" allowBlank="1" showInputMessage="1" showErrorMessage="1">
          <x14:formula1>
            <xm:f>'Видимый верхний трек'!$S$20:$S$21</xm:f>
          </x14:formula1>
          <xm:sqref>D19:E19</xm:sqref>
        </x14:dataValidation>
        <x14:dataValidation type="list" allowBlank="1" showInputMessage="1" showErrorMessage="1">
          <x14:formula1>
            <xm:f>'Видимый верхний трек'!$S$56:$S$58</xm:f>
          </x14:formula1>
          <xm:sqref>D20:E20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Оглавление</vt:lpstr>
      <vt:lpstr>Видимый верхний трек</vt:lpstr>
      <vt:lpstr>Скрытый верхний трек, корпус</vt:lpstr>
      <vt:lpstr>Скрытый верхний трек, проем</vt:lpstr>
      <vt:lpstr>'Видимый верхний трек'!Область_печати</vt:lpstr>
      <vt:lpstr>'Скрытый верхний трек, корпус'!Область_печати</vt:lpstr>
      <vt:lpstr>'Скрытый верхний трек, проем'!Область_печати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2020-07-10T08:44:16Z</dcterms:modified>
</cp:coreProperties>
</file>