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AlgorithmName="SHA-512" workbookHashValue="rRblSRQxuSWNxZWLmcoNblzHo7jGFwMEWkPghcipxZhmAhpA8WqyYnlXE2ulbLLNMFEwuN31KwserrJ8WXvVPw==" workbookSaltValue="iHb19CbKizyCvAx0vBXBRg==" workbookSpinCount="100000" lockStructure="1"/>
  <bookViews>
    <workbookView xWindow="0" yWindow="0" windowWidth="11475" windowHeight="7590" tabRatio="874"/>
  </bookViews>
  <sheets>
    <sheet name="Оглавление" sheetId="6" r:id="rId1"/>
    <sheet name="Видимый верхний трек" sheetId="1" r:id="rId2"/>
    <sheet name="Скрытый верхний трек, корпус" sheetId="4" r:id="rId3"/>
    <sheet name="Скрытый верхний трек, проем" sheetId="5" r:id="rId4"/>
  </sheets>
  <definedNames>
    <definedName name="_xlnm.Print_Area" localSheetId="1">'Видимый верхний трек'!$B$3:$K$37</definedName>
    <definedName name="_xlnm.Print_Area" localSheetId="2">'Скрытый верхний трек, корпус'!$B$2:$K$40</definedName>
    <definedName name="_xlnm.Print_Area" localSheetId="3">'Скрытый верхний трек, проем'!$B$2:$K$44</definedName>
  </definedNames>
  <calcPr calcId="162913"/>
</workbook>
</file>

<file path=xl/calcChain.xml><?xml version="1.0" encoding="utf-8"?>
<calcChain xmlns="http://schemas.openxmlformats.org/spreadsheetml/2006/main">
  <c r="K7" i="5" l="1"/>
  <c r="K7" i="4"/>
  <c r="K7" i="1"/>
  <c r="K12" i="5"/>
  <c r="I12" i="5"/>
  <c r="H12" i="5"/>
  <c r="K12" i="4"/>
  <c r="I12" i="4"/>
  <c r="H12" i="4"/>
  <c r="K12" i="1"/>
  <c r="I12" i="1"/>
  <c r="H12" i="1"/>
  <c r="J20" i="5" l="1"/>
  <c r="J19" i="5"/>
  <c r="J36" i="5" l="1"/>
  <c r="J35" i="5"/>
  <c r="H18" i="5"/>
  <c r="G30" i="5" l="1"/>
  <c r="F31" i="5"/>
  <c r="G29" i="5"/>
  <c r="F30" i="5"/>
  <c r="G28" i="5"/>
  <c r="F29" i="5"/>
  <c r="G27" i="5"/>
  <c r="F28" i="5"/>
  <c r="C24" i="5"/>
  <c r="E11" i="5"/>
  <c r="E10" i="5"/>
  <c r="J36" i="4"/>
  <c r="J33" i="4"/>
  <c r="J20" i="4"/>
  <c r="J19" i="4"/>
  <c r="F27" i="5" l="1"/>
  <c r="J28" i="5"/>
  <c r="K8" i="5"/>
  <c r="E30" i="5" s="1"/>
  <c r="M21" i="5" s="1"/>
  <c r="J35" i="4"/>
  <c r="J27" i="5"/>
  <c r="K15" i="5"/>
  <c r="J34" i="5" s="1"/>
  <c r="J18" i="5"/>
  <c r="C37" i="5"/>
  <c r="C24" i="4"/>
  <c r="C37" i="4" s="1"/>
  <c r="G30" i="4"/>
  <c r="G29" i="4"/>
  <c r="G28" i="4"/>
  <c r="F29" i="4"/>
  <c r="G27" i="4"/>
  <c r="F28" i="4"/>
  <c r="E11" i="4"/>
  <c r="E10" i="4"/>
  <c r="J28" i="4" s="1"/>
  <c r="E28" i="5" l="1"/>
  <c r="M19" i="5" s="1"/>
  <c r="E29" i="5"/>
  <c r="M20" i="5" s="1"/>
  <c r="E27" i="5"/>
  <c r="E31" i="5"/>
  <c r="M22" i="5" s="1"/>
  <c r="F27" i="4"/>
  <c r="J27" i="4"/>
  <c r="K8" i="4"/>
  <c r="F30" i="4"/>
  <c r="F31" i="4"/>
  <c r="J23" i="5" l="1"/>
  <c r="F27" i="1"/>
  <c r="C22" i="1" l="1"/>
  <c r="C36" i="1" s="1"/>
  <c r="E11" i="1" l="1"/>
  <c r="E10" i="1"/>
  <c r="G29" i="1"/>
  <c r="G28" i="1"/>
  <c r="G27" i="1"/>
  <c r="G26" i="1"/>
  <c r="J26" i="1" l="1"/>
  <c r="J27" i="1"/>
  <c r="J34" i="1"/>
  <c r="K8" i="1"/>
  <c r="J19" i="1"/>
  <c r="F28" i="1"/>
  <c r="F30" i="1"/>
  <c r="F26" i="1"/>
  <c r="F29" i="1"/>
  <c r="K15" i="1"/>
  <c r="K13" i="1"/>
  <c r="K16" i="1"/>
  <c r="K14" i="1"/>
  <c r="K14" i="5"/>
  <c r="J29" i="5" s="1"/>
  <c r="J33" i="1" l="1"/>
  <c r="J28" i="1"/>
  <c r="E29" i="1"/>
  <c r="M22" i="1" s="1"/>
  <c r="E27" i="1"/>
  <c r="M20" i="1" s="1"/>
  <c r="E28" i="1"/>
  <c r="M21" i="1" s="1"/>
  <c r="E30" i="1"/>
  <c r="M23" i="1" s="1"/>
  <c r="E26" i="1"/>
  <c r="J11" i="1"/>
  <c r="H11" i="5"/>
  <c r="J11" i="5"/>
  <c r="H7" i="5"/>
  <c r="J22" i="1" l="1"/>
  <c r="H15" i="5"/>
  <c r="H14" i="5"/>
  <c r="H13" i="5"/>
  <c r="D27" i="5"/>
  <c r="J21" i="5" l="1"/>
  <c r="J22" i="5"/>
  <c r="G26" i="5"/>
  <c r="M18" i="5"/>
  <c r="M23" i="5" s="1"/>
  <c r="J18" i="4"/>
  <c r="H18" i="4"/>
  <c r="C35" i="5" l="1"/>
  <c r="C33" i="5"/>
  <c r="D33" i="5" s="1"/>
  <c r="B2" i="5"/>
  <c r="K14" i="4"/>
  <c r="K15" i="4"/>
  <c r="J34" i="4" s="1"/>
  <c r="J29" i="4" l="1"/>
  <c r="E30" i="4"/>
  <c r="M21" i="4" s="1"/>
  <c r="E28" i="4"/>
  <c r="E29" i="4"/>
  <c r="M20" i="4" s="1"/>
  <c r="E31" i="4"/>
  <c r="M22" i="4" s="1"/>
  <c r="E27" i="4"/>
  <c r="J14" i="1"/>
  <c r="J14" i="5"/>
  <c r="J14" i="4"/>
  <c r="M14" i="4" s="1"/>
  <c r="J23" i="4" l="1"/>
  <c r="J15" i="5"/>
  <c r="M15" i="5" s="1"/>
  <c r="M14" i="5"/>
  <c r="M19" i="4"/>
  <c r="J16" i="1"/>
  <c r="M16" i="1" s="1"/>
  <c r="M14" i="1"/>
  <c r="D27" i="4" l="1"/>
  <c r="J22" i="4" s="1"/>
  <c r="J21" i="4" l="1"/>
  <c r="G26" i="4"/>
  <c r="C33" i="4" s="1"/>
  <c r="D33" i="4" s="1"/>
  <c r="M18" i="4"/>
  <c r="M23" i="4" s="1"/>
  <c r="C35" i="4"/>
  <c r="J11" i="4"/>
  <c r="J12" i="5"/>
  <c r="J12" i="1"/>
  <c r="K13" i="5"/>
  <c r="K13" i="4"/>
  <c r="J12" i="4"/>
  <c r="J31" i="1" l="1"/>
  <c r="J29" i="1"/>
  <c r="J30" i="1" s="1"/>
  <c r="J33" i="5"/>
  <c r="D26" i="1"/>
  <c r="J32" i="1"/>
  <c r="J13" i="5"/>
  <c r="J30" i="5" s="1"/>
  <c r="J31" i="5" s="1"/>
  <c r="J13" i="4"/>
  <c r="J32" i="4" s="1"/>
  <c r="J21" i="1" l="1"/>
  <c r="J20" i="1"/>
  <c r="M19" i="1"/>
  <c r="M24" i="1" s="1"/>
  <c r="J30" i="4"/>
  <c r="J31" i="4" s="1"/>
  <c r="M13" i="4"/>
  <c r="M13" i="5"/>
  <c r="J32" i="5"/>
  <c r="J15" i="4"/>
  <c r="M15" i="4" s="1"/>
  <c r="M16" i="5" l="1"/>
  <c r="M25" i="5" s="1"/>
  <c r="M16" i="4"/>
  <c r="M25" i="4" s="1"/>
  <c r="J13" i="1"/>
  <c r="M13" i="1" s="1"/>
  <c r="F39" i="5" l="1"/>
  <c r="J24" i="5"/>
  <c r="J26" i="5"/>
  <c r="J25" i="5"/>
  <c r="F41" i="4"/>
  <c r="J26" i="4"/>
  <c r="J25" i="4"/>
  <c r="J24" i="4"/>
  <c r="J15" i="1"/>
  <c r="M15" i="1" s="1"/>
  <c r="M17" i="1" s="1"/>
  <c r="G25" i="1"/>
  <c r="C34" i="1" s="1"/>
  <c r="M26" i="1" l="1"/>
  <c r="F37" i="1" s="1"/>
  <c r="C32" i="1"/>
  <c r="D32" i="1" s="1"/>
  <c r="J24" i="1" l="1"/>
  <c r="J23" i="1"/>
  <c r="J25" i="1"/>
</calcChain>
</file>

<file path=xl/sharedStrings.xml><?xml version="1.0" encoding="utf-8"?>
<sst xmlns="http://schemas.openxmlformats.org/spreadsheetml/2006/main" count="369" uniqueCount="118">
  <si>
    <t>Высота проёма</t>
  </si>
  <si>
    <t>Количество дверей</t>
  </si>
  <si>
    <t>Профили:</t>
  </si>
  <si>
    <t>размер</t>
  </si>
  <si>
    <t>количество</t>
  </si>
  <si>
    <t>высота</t>
  </si>
  <si>
    <t>ширина</t>
  </si>
  <si>
    <t>Размеры двери:</t>
  </si>
  <si>
    <t>Фурнитура:</t>
  </si>
  <si>
    <t>Уплотнитель нижней направляющей</t>
  </si>
  <si>
    <t>РЕЗУЛЬТАТ РАСЧЁТА</t>
  </si>
  <si>
    <t>ВВОД ИСХОДНЫХ ДАННЫХ ДЛЯ РАСЧЁТА</t>
  </si>
  <si>
    <t xml:space="preserve">* по внутреннему проёму шкафа, зависит от наличия боковин и их толщины </t>
  </si>
  <si>
    <t>Для расчёта размеров и количества комплектующих введите данные в таблицу</t>
  </si>
  <si>
    <t xml:space="preserve"> </t>
  </si>
  <si>
    <t>Ширина проёма, перекрываемого дверями</t>
  </si>
  <si>
    <t>Установка с видимой верхней направляющей</t>
  </si>
  <si>
    <t>Установка со скрытой верхней направляющей в корпус</t>
  </si>
  <si>
    <t>Установка со скрытой верхней направляющей в проём</t>
  </si>
  <si>
    <r>
      <t xml:space="preserve">Высота </t>
    </r>
    <r>
      <rPr>
        <u/>
        <sz val="14"/>
        <color theme="1"/>
        <rFont val="Calibri"/>
        <family val="2"/>
        <charset val="204"/>
        <scheme val="minor"/>
      </rPr>
      <t>внутреннего</t>
    </r>
    <r>
      <rPr>
        <sz val="14"/>
        <color theme="1"/>
        <rFont val="Calibri"/>
        <family val="2"/>
        <scheme val="minor"/>
      </rPr>
      <t xml:space="preserve"> проёма шкафа</t>
    </r>
  </si>
  <si>
    <t>Толщина деталей корпуса шкафа 16мм</t>
  </si>
  <si>
    <t>оглавление</t>
  </si>
  <si>
    <t>Количество средних рамок для одной двери</t>
  </si>
  <si>
    <t>РАСЧЁТ ДВЕРЕЙ ARISTO SlimLine</t>
  </si>
  <si>
    <r>
      <rPr>
        <b/>
        <sz val="20"/>
        <color theme="1"/>
        <rFont val="Calibri"/>
        <family val="2"/>
        <charset val="204"/>
        <scheme val="minor"/>
      </rPr>
      <t xml:space="preserve">РАСЧЁТ ДВЕРЕЙ </t>
    </r>
    <r>
      <rPr>
        <b/>
        <sz val="20"/>
        <color theme="1"/>
        <rFont val="Candara"/>
        <family val="2"/>
        <charset val="204"/>
      </rPr>
      <t>ARISTO SlimLine</t>
    </r>
  </si>
  <si>
    <t>Количество доводчиков общее, штук</t>
  </si>
  <si>
    <t>I-----____I</t>
  </si>
  <si>
    <t>I-----____-----I</t>
  </si>
  <si>
    <t>I-----____-----____I</t>
  </si>
  <si>
    <t>I-----____  ____-----I</t>
  </si>
  <si>
    <t>I-----____-----____-----I</t>
  </si>
  <si>
    <t>артикул</t>
  </si>
  <si>
    <t>Рсположение дверей</t>
  </si>
  <si>
    <t>Наполнение</t>
  </si>
  <si>
    <t>Материал</t>
  </si>
  <si>
    <t>Высота</t>
  </si>
  <si>
    <t>Ширина</t>
  </si>
  <si>
    <t>Вставка 1 (считается автоматически)</t>
  </si>
  <si>
    <t>Вставка 2</t>
  </si>
  <si>
    <t>Вставка 3</t>
  </si>
  <si>
    <t>Вставка 4</t>
  </si>
  <si>
    <t>Вставка 5 (низ двери)</t>
  </si>
  <si>
    <t>Количество перекрытий (перекрытие 10 мм)</t>
  </si>
  <si>
    <t>ЛДСП, 10 мм</t>
  </si>
  <si>
    <t>ЛДСП, 8 мм</t>
  </si>
  <si>
    <t>Стекло, зеркало 4 мм</t>
  </si>
  <si>
    <t>Саморез сборочный 6*30мм (для средних разделительных рамок)</t>
  </si>
  <si>
    <t>АВ-75</t>
  </si>
  <si>
    <t>CKRU0650</t>
  </si>
  <si>
    <t xml:space="preserve">Направляющая верхняя </t>
  </si>
  <si>
    <t>CKRU0046</t>
  </si>
  <si>
    <t xml:space="preserve">Направляющая нижняя </t>
  </si>
  <si>
    <t>CKRU0504</t>
  </si>
  <si>
    <t xml:space="preserve">Рамка горизонтальная узкая (верх) </t>
  </si>
  <si>
    <t>CKRU0588</t>
  </si>
  <si>
    <t>CKRU0589</t>
  </si>
  <si>
    <t xml:space="preserve">Рамка горизонтальная широкая (низ) </t>
  </si>
  <si>
    <t xml:space="preserve">Рамка горизонтальная средняя </t>
  </si>
  <si>
    <t>CKRU0590</t>
  </si>
  <si>
    <t xml:space="preserve">Комплект колес </t>
  </si>
  <si>
    <t>Type V</t>
  </si>
  <si>
    <t>Неверно внесены высоты вставок</t>
  </si>
  <si>
    <t>Верно внесены высоты вставок</t>
  </si>
  <si>
    <t>Укажите высоту Вставки 5 (низ двери)</t>
  </si>
  <si>
    <t>П-8мм</t>
  </si>
  <si>
    <t>R-04</t>
  </si>
  <si>
    <t>Уплотнитель П-образный 8 мм</t>
  </si>
  <si>
    <t>Уплотнитель резиновый 4 мм</t>
  </si>
  <si>
    <t>да</t>
  </si>
  <si>
    <t>нет</t>
  </si>
  <si>
    <t>верхний</t>
  </si>
  <si>
    <t>нижний</t>
  </si>
  <si>
    <t>Элемент, скрывающий отверстия</t>
  </si>
  <si>
    <t>Заглушка дверная</t>
  </si>
  <si>
    <t>Шлегель</t>
  </si>
  <si>
    <t>ARD02U 1030</t>
  </si>
  <si>
    <t>ARD02U 3050</t>
  </si>
  <si>
    <t>ARD02U 5070</t>
  </si>
  <si>
    <t>Прищепка для шлегеля 9*5мм</t>
  </si>
  <si>
    <t xml:space="preserve">АМ04 </t>
  </si>
  <si>
    <t>Уплотнитель низкий для средней рамы</t>
  </si>
  <si>
    <t>Замок универсальный</t>
  </si>
  <si>
    <t>ARL-U</t>
  </si>
  <si>
    <t>ARS01</t>
  </si>
  <si>
    <t>X01</t>
  </si>
  <si>
    <t>AB-53</t>
  </si>
  <si>
    <t>MT/ST 9*5-6P6L</t>
  </si>
  <si>
    <t>PB5*6-3P2L</t>
  </si>
  <si>
    <t>КНП 01</t>
  </si>
  <si>
    <t>Шлегель бесклеевой в паз вертикального профиля</t>
  </si>
  <si>
    <t>Шлегель на боковую поверхность двери</t>
  </si>
  <si>
    <t>Нельзя использовать вставку 8 мм</t>
  </si>
  <si>
    <t>Количество вставок одной двери:</t>
  </si>
  <si>
    <t>Кол-во</t>
  </si>
  <si>
    <t>Вес двери</t>
  </si>
  <si>
    <t>Доводчик универсальный*</t>
  </si>
  <si>
    <t>Вес одной двери:</t>
  </si>
  <si>
    <t>AFL-01</t>
  </si>
  <si>
    <t>AFL-03</t>
  </si>
  <si>
    <t>Кронштейн внешний</t>
  </si>
  <si>
    <t>Кронштейн внутренний</t>
  </si>
  <si>
    <t>Рамка горизонтальная широкая (верх+низ двери)</t>
  </si>
  <si>
    <t>Вертикальный профиль</t>
  </si>
  <si>
    <t>** в расчетах веса двери не учитывается уклон пола помещения</t>
  </si>
  <si>
    <t>* в расчетах веса двери не учитывается уклон пола помещения</t>
  </si>
  <si>
    <t>Доводчик универсальный**</t>
  </si>
  <si>
    <t>Количество доводчиков на внутренних дверях, штук (на внутренних кронштейнах)</t>
  </si>
  <si>
    <t>Количество доводчиков на внешних дверях, штук (на внешних кронштейнах)</t>
  </si>
  <si>
    <t>Саморез 3,9*9,5 мм с полукруглой головкой</t>
  </si>
  <si>
    <t>Замок универсальный***</t>
  </si>
  <si>
    <t>*** замок использовать совместно с доводчиками</t>
  </si>
  <si>
    <t>Стопор</t>
  </si>
  <si>
    <t>Стопор верхний</t>
  </si>
  <si>
    <t>Стопор нижний</t>
  </si>
  <si>
    <t>RN-04</t>
  </si>
  <si>
    <t>Направляющая нижняя врезная</t>
  </si>
  <si>
    <t>CKRU0690</t>
  </si>
  <si>
    <t>Врезная нижняя направляющая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</si>
</sst>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&quot; мм&quot;"/>
    <numFmt numFmtId="165" formatCode="#,##0&quot; м&quot;"/>
    <numFmt numFmtId="166" formatCode="#,##0&quot; мм*&quot;"/>
    <numFmt numFmtId="167" formatCode="0.0"/>
    <numFmt numFmtId="168" formatCode="#,##0&quot; шт.&quot;"/>
    <numFmt numFmtId="169" formatCode="#,##0&quot; комп.&quot;"/>
    <numFmt numFmtId="170" formatCode="#,##0&quot; кг.&quot;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ndara"/>
      <family val="2"/>
      <charset val="204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u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94">
    <xf numFmtId="0" fontId="0" fillId="0" borderId="0" xfId="0"/>
    <xf numFmtId="164" fontId="2" fillId="0" borderId="5" xfId="0" applyNumberFormat="1" applyFont="1" applyBorder="1" applyAlignment="1" applyProtection="1">
      <alignment horizontal="center" vertical="center"/>
    </xf>
    <xf numFmtId="164" fontId="2" fillId="0" borderId="8" xfId="0" applyNumberFormat="1" applyFont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164" fontId="2" fillId="0" borderId="3" xfId="0" applyNumberFormat="1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2" fillId="0" borderId="3" xfId="0" applyNumberFormat="1" applyFont="1" applyFill="1" applyBorder="1" applyAlignment="1" applyProtection="1">
      <alignment horizontal="center" vertical="center"/>
    </xf>
    <xf numFmtId="0" fontId="0" fillId="4" borderId="18" xfId="0" applyFill="1" applyBorder="1"/>
    <xf numFmtId="0" fontId="0" fillId="4" borderId="20" xfId="0" applyFill="1" applyBorder="1"/>
    <xf numFmtId="0" fontId="0" fillId="4" borderId="32" xfId="0" applyFill="1" applyBorder="1"/>
    <xf numFmtId="0" fontId="0" fillId="4" borderId="0" xfId="0" applyFill="1"/>
    <xf numFmtId="0" fontId="0" fillId="4" borderId="33" xfId="0" applyFill="1" applyBorder="1"/>
    <xf numFmtId="0" fontId="0" fillId="4" borderId="0" xfId="0" applyFill="1" applyBorder="1"/>
    <xf numFmtId="0" fontId="0" fillId="4" borderId="17" xfId="0" applyFill="1" applyBorder="1"/>
    <xf numFmtId="0" fontId="0" fillId="4" borderId="19" xfId="0" applyFill="1" applyBorder="1"/>
    <xf numFmtId="0" fontId="0" fillId="4" borderId="23" xfId="0" applyFill="1" applyBorder="1"/>
    <xf numFmtId="0" fontId="0" fillId="4" borderId="34" xfId="0" applyFill="1" applyBorder="1"/>
    <xf numFmtId="0" fontId="1" fillId="3" borderId="1" xfId="0" applyFont="1" applyFill="1" applyBorder="1" applyAlignment="1" applyProtection="1">
      <alignment vertical="center"/>
      <protection locked="0"/>
    </xf>
    <xf numFmtId="164" fontId="1" fillId="5" borderId="1" xfId="0" applyNumberFormat="1" applyFont="1" applyFill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164" fontId="1" fillId="3" borderId="7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right" vertical="center"/>
    </xf>
    <xf numFmtId="168" fontId="16" fillId="0" borderId="0" xfId="0" applyNumberFormat="1" applyFont="1" applyFill="1" applyAlignment="1" applyProtection="1">
      <alignment vertical="center"/>
    </xf>
    <xf numFmtId="0" fontId="17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4" fontId="1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1" fillId="0" borderId="0" xfId="0" applyFont="1" applyFill="1" applyProtection="1"/>
    <xf numFmtId="0" fontId="0" fillId="0" borderId="0" xfId="0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left" vertical="center"/>
    </xf>
    <xf numFmtId="0" fontId="11" fillId="2" borderId="2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left" vertical="center"/>
    </xf>
    <xf numFmtId="0" fontId="11" fillId="0" borderId="25" xfId="0" applyFont="1" applyFill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/>
    </xf>
    <xf numFmtId="0" fontId="11" fillId="0" borderId="26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right" wrapText="1"/>
    </xf>
    <xf numFmtId="0" fontId="1" fillId="0" borderId="35" xfId="0" applyFont="1" applyBorder="1" applyAlignment="1" applyProtection="1">
      <alignment vertical="center"/>
    </xf>
    <xf numFmtId="0" fontId="3" fillId="2" borderId="9" xfId="0" applyFont="1" applyFill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167" fontId="11" fillId="0" borderId="25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2" borderId="35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3" borderId="35" xfId="0" applyFont="1" applyFill="1" applyBorder="1" applyAlignment="1" applyProtection="1">
      <alignment vertical="center"/>
    </xf>
    <xf numFmtId="164" fontId="1" fillId="0" borderId="2" xfId="0" applyNumberFormat="1" applyFont="1" applyBorder="1" applyAlignment="1" applyProtection="1">
      <alignment horizontal="center" vertical="center"/>
    </xf>
    <xf numFmtId="168" fontId="1" fillId="0" borderId="11" xfId="0" applyNumberFormat="1" applyFont="1" applyBorder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1" fillId="0" borderId="10" xfId="0" applyFont="1" applyBorder="1" applyProtection="1"/>
    <xf numFmtId="0" fontId="1" fillId="0" borderId="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vertical="center"/>
    </xf>
    <xf numFmtId="164" fontId="1" fillId="0" borderId="28" xfId="0" applyNumberFormat="1" applyFont="1" applyBorder="1" applyAlignment="1" applyProtection="1">
      <alignment horizontal="center" vertical="center"/>
    </xf>
    <xf numFmtId="168" fontId="1" fillId="0" borderId="8" xfId="0" applyNumberFormat="1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14" xfId="0" applyFont="1" applyBorder="1" applyAlignment="1" applyProtection="1">
      <alignment vertical="center"/>
    </xf>
    <xf numFmtId="0" fontId="12" fillId="0" borderId="26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vertical="center"/>
    </xf>
    <xf numFmtId="0" fontId="12" fillId="0" borderId="7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170" fontId="1" fillId="0" borderId="35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1" fillId="0" borderId="0" xfId="0" applyFont="1" applyFill="1" applyBorder="1" applyProtection="1"/>
    <xf numFmtId="0" fontId="1" fillId="0" borderId="0" xfId="0" applyFont="1" applyAlignment="1" applyProtection="1">
      <alignment wrapText="1"/>
    </xf>
    <xf numFmtId="0" fontId="9" fillId="0" borderId="0" xfId="0" applyFont="1" applyProtection="1"/>
    <xf numFmtId="0" fontId="11" fillId="0" borderId="0" xfId="0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/>
    </xf>
    <xf numFmtId="0" fontId="12" fillId="0" borderId="33" xfId="0" applyFont="1" applyFill="1" applyBorder="1" applyAlignment="1" applyProtection="1">
      <alignment horizontal="center" vertical="center"/>
    </xf>
    <xf numFmtId="4" fontId="1" fillId="0" borderId="0" xfId="0" applyNumberFormat="1" applyFont="1" applyAlignment="1" applyProtection="1">
      <alignment vertical="center"/>
    </xf>
    <xf numFmtId="169" fontId="1" fillId="0" borderId="0" xfId="0" applyNumberFormat="1" applyFont="1" applyAlignment="1" applyProtection="1">
      <alignment vertical="center"/>
    </xf>
    <xf numFmtId="0" fontId="1" fillId="0" borderId="0" xfId="0" applyFont="1" applyBorder="1" applyProtection="1"/>
    <xf numFmtId="0" fontId="6" fillId="0" borderId="0" xfId="0" applyFont="1" applyProtection="1"/>
    <xf numFmtId="0" fontId="10" fillId="0" borderId="1" xfId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1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1" fillId="0" borderId="10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168" fontId="2" fillId="0" borderId="7" xfId="0" applyNumberFormat="1" applyFont="1" applyBorder="1" applyAlignment="1" applyProtection="1">
      <alignment horizontal="center" vertical="center" wrapText="1"/>
    </xf>
    <xf numFmtId="168" fontId="14" fillId="0" borderId="8" xfId="0" applyNumberFormat="1" applyFont="1" applyBorder="1" applyAlignment="1" applyProtection="1">
      <alignment horizontal="center" vertical="center" wrapText="1"/>
    </xf>
    <xf numFmtId="164" fontId="4" fillId="2" borderId="30" xfId="0" applyNumberFormat="1" applyFont="1" applyFill="1" applyBorder="1" applyAlignment="1" applyProtection="1">
      <alignment horizontal="center" vertical="center" wrapText="1"/>
    </xf>
    <xf numFmtId="164" fontId="4" fillId="2" borderId="31" xfId="0" applyNumberFormat="1" applyFont="1" applyFill="1" applyBorder="1" applyAlignment="1" applyProtection="1">
      <alignment horizontal="center" vertical="center" wrapText="1"/>
    </xf>
    <xf numFmtId="169" fontId="2" fillId="0" borderId="2" xfId="0" applyNumberFormat="1" applyFont="1" applyBorder="1" applyAlignment="1" applyProtection="1">
      <alignment horizontal="center" vertical="center" wrapText="1"/>
    </xf>
    <xf numFmtId="169" fontId="2" fillId="0" borderId="13" xfId="0" applyNumberFormat="1" applyFont="1" applyBorder="1" applyAlignment="1" applyProtection="1">
      <alignment horizontal="center" vertical="center" wrapText="1"/>
    </xf>
    <xf numFmtId="165" fontId="2" fillId="0" borderId="2" xfId="0" applyNumberFormat="1" applyFont="1" applyBorder="1" applyAlignment="1" applyProtection="1">
      <alignment horizontal="center" vertical="center"/>
    </xf>
    <xf numFmtId="165" fontId="2" fillId="0" borderId="13" xfId="0" applyNumberFormat="1" applyFont="1" applyBorder="1" applyAlignment="1" applyProtection="1">
      <alignment horizontal="center" vertical="center"/>
    </xf>
    <xf numFmtId="168" fontId="2" fillId="0" borderId="2" xfId="0" applyNumberFormat="1" applyFont="1" applyBorder="1" applyAlignment="1" applyProtection="1">
      <alignment horizontal="center" vertical="center" wrapText="1"/>
    </xf>
    <xf numFmtId="168" fontId="2" fillId="0" borderId="13" xfId="0" applyNumberFormat="1" applyFont="1" applyBorder="1" applyAlignment="1" applyProtection="1">
      <alignment horizontal="center" vertical="center" wrapText="1"/>
    </xf>
    <xf numFmtId="168" fontId="2" fillId="0" borderId="1" xfId="0" applyNumberFormat="1" applyFont="1" applyBorder="1" applyAlignment="1" applyProtection="1">
      <alignment horizontal="center"/>
    </xf>
    <xf numFmtId="168" fontId="2" fillId="0" borderId="11" xfId="0" applyNumberFormat="1" applyFont="1" applyBorder="1" applyAlignment="1" applyProtection="1">
      <alignment horizontal="center"/>
    </xf>
    <xf numFmtId="168" fontId="2" fillId="0" borderId="1" xfId="0" applyNumberFormat="1" applyFont="1" applyBorder="1" applyAlignment="1" applyProtection="1">
      <alignment horizontal="center" vertical="center" wrapText="1"/>
    </xf>
    <xf numFmtId="168" fontId="14" fillId="0" borderId="11" xfId="0" applyNumberFormat="1" applyFont="1" applyBorder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horizontal="center" vertical="center" wrapText="1"/>
    </xf>
    <xf numFmtId="165" fontId="2" fillId="0" borderId="11" xfId="0" applyNumberFormat="1" applyFont="1" applyBorder="1" applyAlignment="1" applyProtection="1">
      <alignment horizontal="center" vertical="center" wrapText="1"/>
    </xf>
    <xf numFmtId="168" fontId="2" fillId="0" borderId="11" xfId="0" applyNumberFormat="1" applyFont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</xf>
    <xf numFmtId="165" fontId="14" fillId="0" borderId="11" xfId="0" applyNumberFormat="1" applyFont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left" vertical="center"/>
    </xf>
    <xf numFmtId="0" fontId="3" fillId="2" borderId="21" xfId="0" applyFont="1" applyFill="1" applyBorder="1" applyAlignment="1" applyProtection="1">
      <alignment horizontal="left" vertical="center"/>
    </xf>
    <xf numFmtId="0" fontId="3" fillId="2" borderId="19" xfId="0" applyFont="1" applyFill="1" applyBorder="1" applyAlignment="1" applyProtection="1">
      <alignment horizontal="left" vertical="center"/>
    </xf>
    <xf numFmtId="0" fontId="3" fillId="2" borderId="22" xfId="0" applyFont="1" applyFill="1" applyBorder="1" applyAlignment="1" applyProtection="1">
      <alignment horizontal="left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5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left" vertical="center"/>
    </xf>
    <xf numFmtId="0" fontId="1" fillId="0" borderId="37" xfId="0" applyFont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1" fillId="0" borderId="38" xfId="0" applyFont="1" applyBorder="1" applyAlignment="1" applyProtection="1">
      <alignment horizontal="left" vertical="center" wrapText="1"/>
    </xf>
    <xf numFmtId="0" fontId="11" fillId="0" borderId="36" xfId="0" applyFont="1" applyBorder="1" applyAlignment="1" applyProtection="1">
      <alignment horizontal="left" vertical="center" wrapText="1"/>
    </xf>
    <xf numFmtId="0" fontId="11" fillId="0" borderId="26" xfId="0" applyFont="1" applyBorder="1" applyAlignment="1" applyProtection="1">
      <alignment horizontal="left" vertical="center" wrapText="1"/>
    </xf>
    <xf numFmtId="0" fontId="1" fillId="0" borderId="38" xfId="0" applyFont="1" applyBorder="1" applyAlignment="1" applyProtection="1">
      <alignment horizontal="left" vertical="center"/>
    </xf>
    <xf numFmtId="0" fontId="1" fillId="0" borderId="36" xfId="0" applyFont="1" applyBorder="1" applyAlignment="1" applyProtection="1">
      <alignment horizontal="left" vertical="center"/>
    </xf>
    <xf numFmtId="0" fontId="1" fillId="0" borderId="26" xfId="0" applyFont="1" applyBorder="1" applyAlignment="1" applyProtection="1">
      <alignment horizontal="left" vertical="center"/>
    </xf>
    <xf numFmtId="0" fontId="1" fillId="0" borderId="38" xfId="0" applyFont="1" applyFill="1" applyBorder="1" applyAlignment="1" applyProtection="1">
      <alignment vertical="center"/>
    </xf>
    <xf numFmtId="0" fontId="1" fillId="0" borderId="36" xfId="0" applyFont="1" applyFill="1" applyBorder="1" applyAlignment="1" applyProtection="1">
      <alignment vertical="center"/>
    </xf>
    <xf numFmtId="0" fontId="1" fillId="0" borderId="26" xfId="0" applyFont="1" applyFill="1" applyBorder="1" applyAlignment="1" applyProtection="1">
      <alignment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horizontal="left" vertical="top"/>
    </xf>
    <xf numFmtId="0" fontId="1" fillId="0" borderId="36" xfId="0" applyFont="1" applyBorder="1" applyAlignment="1" applyProtection="1">
      <alignment horizontal="left" vertical="top"/>
    </xf>
    <xf numFmtId="0" fontId="1" fillId="0" borderId="26" xfId="0" applyFont="1" applyBorder="1" applyAlignment="1" applyProtection="1">
      <alignment horizontal="left" vertical="top"/>
    </xf>
    <xf numFmtId="0" fontId="1" fillId="0" borderId="38" xfId="0" applyFont="1" applyBorder="1" applyAlignment="1" applyProtection="1">
      <alignment vertical="center"/>
    </xf>
    <xf numFmtId="0" fontId="1" fillId="0" borderId="36" xfId="0" applyFont="1" applyBorder="1" applyAlignment="1" applyProtection="1">
      <alignment vertical="center"/>
    </xf>
    <xf numFmtId="0" fontId="1" fillId="0" borderId="26" xfId="0" applyFont="1" applyBorder="1" applyAlignment="1" applyProtection="1">
      <alignment vertical="center"/>
    </xf>
    <xf numFmtId="164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vertical="center"/>
    </xf>
    <xf numFmtId="0" fontId="1" fillId="0" borderId="41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164" fontId="2" fillId="3" borderId="30" xfId="0" applyNumberFormat="1" applyFont="1" applyFill="1" applyBorder="1" applyAlignment="1" applyProtection="1">
      <alignment horizontal="center" vertical="center"/>
      <protection locked="0"/>
    </xf>
    <xf numFmtId="164" fontId="2" fillId="3" borderId="31" xfId="0" applyNumberFormat="1" applyFont="1" applyFill="1" applyBorder="1" applyAlignment="1" applyProtection="1">
      <alignment horizontal="center" vertical="center"/>
      <protection locked="0"/>
    </xf>
  </cellXfs>
  <cellStyles count="2">
    <cellStyle name="Гиперссылка" xfId="1" builtinId="8"/>
    <cellStyle name="Обычный" xfId="0" builtinId="0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1042;&#1080;&#1076;&#1080;&#1084;&#1099;&#1081; &#1074;&#1077;&#1088;&#1093;&#1085;&#1080;&#1081; &#1090;&#1088;&#1077;&#1082;'!E7"/><Relationship Id="rId2" Type="http://schemas.openxmlformats.org/officeDocument/2006/relationships/hyperlink" Target="#'&#1057;&#1082;&#1088;&#1099;&#1090;&#1099;&#1081; &#1074;&#1077;&#1088;&#1093;&#1085;&#1080;&#1081; &#1090;&#1088;&#1077;&#1082;, &#1082;&#1086;&#1088;&#1087;&#1091;&#1089;'!E7"/><Relationship Id="rId1" Type="http://schemas.openxmlformats.org/officeDocument/2006/relationships/hyperlink" Target="#'&#1057;&#1082;&#1088;&#1099;&#1090;&#1099;&#1081; &#1074;&#1077;&#1088;&#1093;&#1085;&#1080;&#1081; &#1090;&#1088;&#1077;&#1082;, &#1087;&#1088;&#1086;&#1077;&#1084;'!E7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396327</xdr:colOff>
      <xdr:row>10</xdr:row>
      <xdr:rowOff>157407</xdr:rowOff>
    </xdr:from>
    <xdr:ext cx="3042000" cy="342786"/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615527" y="2062407"/>
          <a:ext cx="3042000" cy="342786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0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Скрытый</a:t>
          </a:r>
          <a:r>
            <a:rPr lang="ru-RU" sz="1600" b="0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 верхний трек, проем</a:t>
          </a:r>
          <a:endParaRPr lang="ru-RU" sz="1600" b="0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rgbClr val="92D050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</xdr:col>
      <xdr:colOff>404264</xdr:colOff>
      <xdr:row>8</xdr:row>
      <xdr:rowOff>142143</xdr:rowOff>
    </xdr:from>
    <xdr:ext cx="3042000" cy="342786"/>
    <xdr:sp macro="" textlink="">
      <xdr:nvSpPr>
        <xdr:cNvPr id="3" name="Прямоугольник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623464" y="1666143"/>
          <a:ext cx="3042000" cy="342786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0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Скрытый</a:t>
          </a:r>
          <a:r>
            <a:rPr lang="ru-RU" sz="1600" b="0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 верхний трек, корпус</a:t>
          </a:r>
          <a:endParaRPr lang="ru-RU" sz="1600" b="0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rgbClr val="92D050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</xdr:col>
      <xdr:colOff>404203</xdr:colOff>
      <xdr:row>6</xdr:row>
      <xdr:rowOff>126877</xdr:rowOff>
    </xdr:from>
    <xdr:ext cx="3042000" cy="342786"/>
    <xdr:sp macro="" textlink="">
      <xdr:nvSpPr>
        <xdr:cNvPr id="4" name="Прямоугольник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623403" y="1269877"/>
          <a:ext cx="3042000" cy="342786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0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Видимый</a:t>
          </a:r>
          <a:r>
            <a:rPr lang="ru-RU" sz="1600" b="0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 верхний трек</a:t>
          </a:r>
          <a:endParaRPr lang="ru-RU" sz="1600" b="0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rgbClr val="92D050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8</xdr:col>
      <xdr:colOff>376167</xdr:colOff>
      <xdr:row>0</xdr:row>
      <xdr:rowOff>51420</xdr:rowOff>
    </xdr:from>
    <xdr:to>
      <xdr:col>9</xdr:col>
      <xdr:colOff>545121</xdr:colOff>
      <xdr:row>2</xdr:row>
      <xdr:rowOff>139212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00567" y="51420"/>
          <a:ext cx="778554" cy="4687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244985</xdr:colOff>
      <xdr:row>1</xdr:row>
      <xdr:rowOff>68036</xdr:rowOff>
    </xdr:from>
    <xdr:to>
      <xdr:col>17</xdr:col>
      <xdr:colOff>287556</xdr:colOff>
      <xdr:row>33</xdr:row>
      <xdr:rowOff>231321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06D9B0E-453B-4E39-AABF-F4DBF0851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3021" y="312965"/>
          <a:ext cx="2491856" cy="8205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666748</xdr:colOff>
      <xdr:row>30</xdr:row>
      <xdr:rowOff>190503</xdr:rowOff>
    </xdr:from>
    <xdr:to>
      <xdr:col>1</xdr:col>
      <xdr:colOff>2095500</xdr:colOff>
      <xdr:row>43</xdr:row>
      <xdr:rowOff>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55" y="7756074"/>
          <a:ext cx="1428752" cy="30207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231320</xdr:colOff>
      <xdr:row>1</xdr:row>
      <xdr:rowOff>204120</xdr:rowOff>
    </xdr:from>
    <xdr:to>
      <xdr:col>22</xdr:col>
      <xdr:colOff>462174</xdr:colOff>
      <xdr:row>33</xdr:row>
      <xdr:rowOff>163284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0A9A71E-C032-4681-B3A0-3F3C87AF4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9677" y="449049"/>
          <a:ext cx="5741747" cy="7973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666748</xdr:colOff>
      <xdr:row>31</xdr:row>
      <xdr:rowOff>190503</xdr:rowOff>
    </xdr:from>
    <xdr:to>
      <xdr:col>1</xdr:col>
      <xdr:colOff>2095500</xdr:colOff>
      <xdr:row>44</xdr:row>
      <xdr:rowOff>242208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3" y="7534278"/>
          <a:ext cx="1428752" cy="30003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462643</xdr:colOff>
      <xdr:row>1</xdr:row>
      <xdr:rowOff>244940</xdr:rowOff>
    </xdr:from>
    <xdr:to>
      <xdr:col>22</xdr:col>
      <xdr:colOff>481232</xdr:colOff>
      <xdr:row>34</xdr:row>
      <xdr:rowOff>231322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7EC580A-0AAE-4697-89E1-B9277F2B3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2822" y="489869"/>
          <a:ext cx="5529482" cy="8245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666748</xdr:colOff>
      <xdr:row>31</xdr:row>
      <xdr:rowOff>190503</xdr:rowOff>
    </xdr:from>
    <xdr:to>
      <xdr:col>1</xdr:col>
      <xdr:colOff>2095500</xdr:colOff>
      <xdr:row>43</xdr:row>
      <xdr:rowOff>212271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8" y="7781928"/>
          <a:ext cx="1428752" cy="3013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9"/>
  <sheetViews>
    <sheetView tabSelected="1" workbookViewId="0"/>
  </sheetViews>
  <sheetFormatPr defaultRowHeight="15" x14ac:dyDescent="0.25"/>
  <sheetData>
    <row r="1" spans="1:11" x14ac:dyDescent="0.25">
      <c r="A1" s="11"/>
      <c r="B1" s="12"/>
      <c r="C1" s="12"/>
      <c r="D1" s="12"/>
      <c r="E1" s="12"/>
      <c r="F1" s="12"/>
      <c r="G1" s="12"/>
      <c r="H1" s="12"/>
      <c r="I1" s="12"/>
      <c r="J1" s="13"/>
      <c r="K1" s="14"/>
    </row>
    <row r="2" spans="1:11" x14ac:dyDescent="0.25">
      <c r="A2" s="15"/>
      <c r="B2" s="16"/>
      <c r="C2" s="16"/>
      <c r="D2" s="16"/>
      <c r="E2" s="16"/>
      <c r="F2" s="16"/>
      <c r="G2" s="16"/>
      <c r="H2" s="16"/>
      <c r="I2" s="16"/>
      <c r="J2" s="17"/>
      <c r="K2" s="14"/>
    </row>
    <row r="3" spans="1:11" x14ac:dyDescent="0.25">
      <c r="A3" s="15"/>
      <c r="B3" s="16"/>
      <c r="C3" s="16"/>
      <c r="D3" s="16"/>
      <c r="E3" s="16"/>
      <c r="F3" s="16"/>
      <c r="G3" s="16"/>
      <c r="H3" s="16"/>
      <c r="I3" s="16"/>
      <c r="J3" s="17"/>
      <c r="K3" s="14"/>
    </row>
    <row r="4" spans="1:11" x14ac:dyDescent="0.25">
      <c r="A4" s="15"/>
      <c r="B4" s="16"/>
      <c r="C4" s="16"/>
      <c r="D4" s="16"/>
      <c r="E4" s="16"/>
      <c r="F4" s="16"/>
      <c r="G4" s="16"/>
      <c r="H4" s="16"/>
      <c r="I4" s="16"/>
      <c r="J4" s="17"/>
      <c r="K4" s="14"/>
    </row>
    <row r="5" spans="1:11" x14ac:dyDescent="0.25">
      <c r="A5" s="15"/>
      <c r="B5" s="16"/>
      <c r="C5" s="16"/>
      <c r="D5" s="16"/>
      <c r="E5" s="16"/>
      <c r="F5" s="16"/>
      <c r="G5" s="16"/>
      <c r="H5" s="16"/>
      <c r="I5" s="16"/>
      <c r="J5" s="17"/>
      <c r="K5" s="14"/>
    </row>
    <row r="6" spans="1:11" x14ac:dyDescent="0.25">
      <c r="A6" s="15"/>
      <c r="B6" s="16"/>
      <c r="C6" s="16"/>
      <c r="D6" s="16"/>
      <c r="E6" s="16"/>
      <c r="F6" s="16"/>
      <c r="G6" s="16"/>
      <c r="H6" s="16"/>
      <c r="I6" s="16"/>
      <c r="J6" s="17"/>
      <c r="K6" s="14"/>
    </row>
    <row r="7" spans="1:11" x14ac:dyDescent="0.25">
      <c r="A7" s="15"/>
      <c r="B7" s="16"/>
      <c r="C7" s="16"/>
      <c r="D7" s="16"/>
      <c r="E7" s="16"/>
      <c r="F7" s="16"/>
      <c r="G7" s="16"/>
      <c r="H7" s="16"/>
      <c r="I7" s="16"/>
      <c r="J7" s="17"/>
      <c r="K7" s="14"/>
    </row>
    <row r="8" spans="1:11" x14ac:dyDescent="0.25">
      <c r="A8" s="15"/>
      <c r="B8" s="16"/>
      <c r="C8" s="16"/>
      <c r="D8" s="16"/>
      <c r="E8" s="16"/>
      <c r="F8" s="16"/>
      <c r="G8" s="16"/>
      <c r="H8" s="16"/>
      <c r="I8" s="16"/>
      <c r="J8" s="17"/>
      <c r="K8" s="14"/>
    </row>
    <row r="9" spans="1:11" x14ac:dyDescent="0.25">
      <c r="A9" s="15"/>
      <c r="B9" s="16"/>
      <c r="C9" s="16"/>
      <c r="D9" s="16"/>
      <c r="E9" s="16"/>
      <c r="F9" s="16"/>
      <c r="G9" s="16"/>
      <c r="H9" s="16"/>
      <c r="I9" s="16"/>
      <c r="J9" s="17"/>
      <c r="K9" s="14"/>
    </row>
    <row r="10" spans="1:1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7"/>
      <c r="K10" s="14"/>
    </row>
    <row r="11" spans="1:11" x14ac:dyDescent="0.25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4"/>
    </row>
    <row r="12" spans="1:1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7"/>
      <c r="K12" s="14"/>
    </row>
    <row r="13" spans="1:11" x14ac:dyDescent="0.25">
      <c r="A13" s="15"/>
      <c r="B13" s="16"/>
      <c r="C13" s="16"/>
      <c r="D13" s="16"/>
      <c r="E13" s="16"/>
      <c r="F13" s="16"/>
      <c r="G13" s="16"/>
      <c r="H13" s="16"/>
      <c r="I13" s="16"/>
      <c r="J13" s="17"/>
      <c r="K13" s="14"/>
    </row>
    <row r="14" spans="1:1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7"/>
      <c r="K14" s="14"/>
    </row>
    <row r="15" spans="1:11" x14ac:dyDescent="0.25">
      <c r="A15" s="15"/>
      <c r="B15" s="16"/>
      <c r="C15" s="16"/>
      <c r="D15" s="16"/>
      <c r="E15" s="16"/>
      <c r="F15" s="16"/>
      <c r="G15" s="16"/>
      <c r="H15" s="16"/>
      <c r="I15" s="16"/>
      <c r="J15" s="17"/>
      <c r="K15" s="14"/>
    </row>
    <row r="16" spans="1:11" ht="15.75" thickBot="1" x14ac:dyDescent="0.3">
      <c r="A16" s="18"/>
      <c r="B16" s="19"/>
      <c r="C16" s="19"/>
      <c r="D16" s="19"/>
      <c r="E16" s="19"/>
      <c r="F16" s="19"/>
      <c r="G16" s="19"/>
      <c r="H16" s="19"/>
      <c r="I16" s="19"/>
      <c r="J16" s="20"/>
      <c r="K16" s="14"/>
    </row>
    <row r="17" spans="1:1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</sheetData>
  <sheetProtection algorithmName="SHA-512" hashValue="5oYbi02mM6ELtL5fZ8RwTkUNR/Yjt7wpvQSL1NAKdcM/DwuuEgNx7/xlu2i3QLGfu2gJ94JukNVLx7P/5Z9uRA==" saltValue="gO48DHKX8Cf0SqSe0JE3yQ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U52"/>
  <sheetViews>
    <sheetView zoomScale="70" zoomScaleNormal="70" workbookViewId="0">
      <selection activeCell="E7" sqref="E7:F7"/>
    </sheetView>
  </sheetViews>
  <sheetFormatPr defaultColWidth="9.140625" defaultRowHeight="18.75" x14ac:dyDescent="0.3"/>
  <cols>
    <col min="1" max="1" width="3" style="34" customWidth="1"/>
    <col min="2" max="2" width="43.42578125" style="34" customWidth="1"/>
    <col min="3" max="3" width="41.7109375" style="34" customWidth="1"/>
    <col min="4" max="6" width="14.7109375" style="33" customWidth="1"/>
    <col min="7" max="7" width="2.7109375" style="34" customWidth="1"/>
    <col min="8" max="8" width="80.28515625" style="34" customWidth="1"/>
    <col min="9" max="9" width="17.140625" style="34" customWidth="1"/>
    <col min="10" max="10" width="16.7109375" style="34" customWidth="1"/>
    <col min="11" max="11" width="13.42578125" style="34" customWidth="1"/>
    <col min="12" max="12" width="15.140625" style="34" hidden="1" customWidth="1"/>
    <col min="13" max="13" width="10" style="34" hidden="1" customWidth="1"/>
    <col min="14" max="19" width="9.140625" style="34"/>
    <col min="20" max="20" width="25.85546875" style="34" hidden="1" customWidth="1"/>
    <col min="21" max="21" width="0" style="34" hidden="1" customWidth="1"/>
    <col min="22" max="16384" width="9.140625" style="34"/>
  </cols>
  <sheetData>
    <row r="1" spans="2:21" x14ac:dyDescent="0.3">
      <c r="B1" s="32"/>
      <c r="C1" s="32"/>
      <c r="T1" s="36" t="s">
        <v>51</v>
      </c>
      <c r="U1" s="35" t="s">
        <v>52</v>
      </c>
    </row>
    <row r="2" spans="2:21" s="35" customFormat="1" ht="27.6" customHeight="1" x14ac:dyDescent="0.25">
      <c r="B2" s="139" t="s">
        <v>23</v>
      </c>
      <c r="C2" s="139"/>
      <c r="D2" s="139"/>
      <c r="E2" s="139"/>
      <c r="F2" s="139"/>
      <c r="G2" s="139"/>
      <c r="H2" s="139"/>
      <c r="I2" s="139"/>
      <c r="J2" s="139"/>
      <c r="K2" s="139"/>
      <c r="T2" s="36" t="s">
        <v>115</v>
      </c>
      <c r="U2" s="35" t="s">
        <v>116</v>
      </c>
    </row>
    <row r="3" spans="2:21" s="36" customFormat="1" ht="26.1" customHeight="1" x14ac:dyDescent="0.25">
      <c r="B3" s="141" t="s">
        <v>16</v>
      </c>
      <c r="C3" s="141"/>
      <c r="D3" s="141"/>
      <c r="E3" s="141"/>
      <c r="F3" s="141"/>
      <c r="G3" s="142"/>
      <c r="H3" s="142"/>
      <c r="I3" s="142"/>
      <c r="J3" s="142"/>
      <c r="K3" s="142"/>
    </row>
    <row r="4" spans="2:21" s="36" customFormat="1" ht="20.100000000000001" customHeight="1" x14ac:dyDescent="0.3">
      <c r="B4" s="37"/>
      <c r="C4" s="37"/>
      <c r="D4" s="37"/>
      <c r="E4" s="37"/>
      <c r="F4" s="37"/>
      <c r="H4" s="38"/>
      <c r="I4" s="38"/>
      <c r="J4" s="38"/>
      <c r="K4" s="38"/>
      <c r="T4" s="39" t="s">
        <v>26</v>
      </c>
    </row>
    <row r="5" spans="2:21" s="36" customFormat="1" ht="20.100000000000001" customHeight="1" x14ac:dyDescent="0.25">
      <c r="B5" s="143" t="s">
        <v>11</v>
      </c>
      <c r="C5" s="143"/>
      <c r="D5" s="143"/>
      <c r="E5" s="143"/>
      <c r="F5" s="98"/>
      <c r="H5" s="143" t="s">
        <v>10</v>
      </c>
      <c r="I5" s="143"/>
      <c r="J5" s="143"/>
      <c r="K5" s="143"/>
      <c r="T5" s="39" t="s">
        <v>27</v>
      </c>
    </row>
    <row r="6" spans="2:21" s="35" customFormat="1" ht="20.100000000000001" customHeight="1" thickBot="1" x14ac:dyDescent="0.3">
      <c r="B6" s="40"/>
      <c r="C6" s="40"/>
      <c r="D6" s="40"/>
      <c r="E6" s="40"/>
      <c r="F6" s="40"/>
      <c r="G6" s="36"/>
      <c r="H6" s="40"/>
      <c r="I6" s="40"/>
      <c r="J6" s="40"/>
      <c r="K6" s="40"/>
      <c r="T6" s="39" t="s">
        <v>28</v>
      </c>
    </row>
    <row r="7" spans="2:21" s="35" customFormat="1" ht="20.100000000000001" customHeight="1" x14ac:dyDescent="0.25">
      <c r="B7" s="110" t="s">
        <v>0</v>
      </c>
      <c r="C7" s="111"/>
      <c r="D7" s="111"/>
      <c r="E7" s="152">
        <v>2000</v>
      </c>
      <c r="F7" s="153"/>
      <c r="H7" s="144" t="s">
        <v>7</v>
      </c>
      <c r="I7" s="145"/>
      <c r="J7" s="41" t="s">
        <v>5</v>
      </c>
      <c r="K7" s="1">
        <f>IF(E14=T38,E7-45,E7-39)</f>
        <v>1955</v>
      </c>
      <c r="T7" s="39" t="s">
        <v>29</v>
      </c>
    </row>
    <row r="8" spans="2:21" s="35" customFormat="1" ht="20.100000000000001" customHeight="1" thickBot="1" x14ac:dyDescent="0.3">
      <c r="B8" s="112" t="s">
        <v>15</v>
      </c>
      <c r="C8" s="113"/>
      <c r="D8" s="113"/>
      <c r="E8" s="154">
        <v>2000</v>
      </c>
      <c r="F8" s="155"/>
      <c r="H8" s="146"/>
      <c r="I8" s="147"/>
      <c r="J8" s="42" t="s">
        <v>6</v>
      </c>
      <c r="K8" s="2">
        <f>ROUNDUP(IF(AND(E17=T48,E9=T7),(E8-20+E11*10)/E10,
IF(AND(E17=T48,E9&lt;&gt;T7),(E8-10+E11*10)/E10,(E8+E11*10)/E10)),0)</f>
        <v>1000</v>
      </c>
      <c r="T8" s="39" t="s">
        <v>30</v>
      </c>
    </row>
    <row r="9" spans="2:21" s="35" customFormat="1" ht="20.100000000000001" customHeight="1" thickBot="1" x14ac:dyDescent="0.3">
      <c r="B9" s="114" t="s">
        <v>32</v>
      </c>
      <c r="C9" s="115"/>
      <c r="D9" s="115"/>
      <c r="E9" s="154" t="s">
        <v>26</v>
      </c>
      <c r="F9" s="155"/>
      <c r="H9" s="43"/>
      <c r="I9" s="43"/>
      <c r="J9" s="44"/>
      <c r="K9" s="3"/>
    </row>
    <row r="10" spans="2:21" s="35" customFormat="1" ht="20.100000000000001" customHeight="1" x14ac:dyDescent="0.25">
      <c r="B10" s="114" t="s">
        <v>1</v>
      </c>
      <c r="C10" s="115"/>
      <c r="D10" s="115"/>
      <c r="E10" s="156">
        <f>IF(E9=T4,2,IF(E9=T5,3,IF(E9=T6,4,IF(E9=T7,4,IF(E9=T8,5)))))</f>
        <v>2</v>
      </c>
      <c r="F10" s="157"/>
      <c r="H10" s="45" t="s">
        <v>2</v>
      </c>
      <c r="I10" s="46" t="s">
        <v>31</v>
      </c>
      <c r="J10" s="41" t="s">
        <v>3</v>
      </c>
      <c r="K10" s="47" t="s">
        <v>4</v>
      </c>
      <c r="L10" s="88"/>
    </row>
    <row r="11" spans="2:21" s="35" customFormat="1" ht="20.100000000000001" customHeight="1" x14ac:dyDescent="0.3">
      <c r="B11" s="114" t="s">
        <v>42</v>
      </c>
      <c r="C11" s="115"/>
      <c r="D11" s="115"/>
      <c r="E11" s="156">
        <f>IF(E9=T4,1,IF(E9=T5,2,IF(E9=T6,3,IF(E9=T7,2,IF(E9=T8,4)))))</f>
        <v>1</v>
      </c>
      <c r="F11" s="157"/>
      <c r="H11" s="48" t="s">
        <v>49</v>
      </c>
      <c r="I11" s="49" t="s">
        <v>50</v>
      </c>
      <c r="J11" s="4">
        <f>E8-2</f>
        <v>1998</v>
      </c>
      <c r="K11" s="5">
        <v>1</v>
      </c>
      <c r="L11" s="34"/>
    </row>
    <row r="12" spans="2:21" s="35" customFormat="1" ht="20.100000000000001" customHeight="1" x14ac:dyDescent="0.3">
      <c r="B12" s="112" t="s">
        <v>25</v>
      </c>
      <c r="C12" s="113"/>
      <c r="D12" s="113"/>
      <c r="E12" s="158">
        <v>0</v>
      </c>
      <c r="F12" s="159"/>
      <c r="H12" s="48" t="str">
        <f>IF(E14=T38,T1,T2)</f>
        <v xml:space="preserve">Направляющая нижняя </v>
      </c>
      <c r="I12" s="49" t="str">
        <f>IF(E14=T38,U1,U2)</f>
        <v>CKRU0504</v>
      </c>
      <c r="J12" s="4">
        <f>E8-2</f>
        <v>1998</v>
      </c>
      <c r="K12" s="5">
        <f>IF(E14=T38,1,2)</f>
        <v>1</v>
      </c>
      <c r="L12" s="34"/>
      <c r="T12" s="26" t="s">
        <v>43</v>
      </c>
    </row>
    <row r="13" spans="2:21" s="35" customFormat="1" ht="20.100000000000001" customHeight="1" x14ac:dyDescent="0.3">
      <c r="B13" s="116" t="s">
        <v>22</v>
      </c>
      <c r="C13" s="117"/>
      <c r="D13" s="117"/>
      <c r="E13" s="158">
        <v>0</v>
      </c>
      <c r="F13" s="159"/>
      <c r="H13" s="50" t="s">
        <v>102</v>
      </c>
      <c r="I13" s="51" t="s">
        <v>48</v>
      </c>
      <c r="J13" s="6">
        <f>K7</f>
        <v>1955</v>
      </c>
      <c r="K13" s="7">
        <f>E10*2</f>
        <v>4</v>
      </c>
      <c r="L13" s="34">
        <v>0.29799999999999999</v>
      </c>
      <c r="M13" s="35">
        <f t="shared" ref="M12:M16" si="0">L13*J13*K13/1000</f>
        <v>2.3303599999999998</v>
      </c>
      <c r="T13" s="26" t="s">
        <v>44</v>
      </c>
    </row>
    <row r="14" spans="2:21" s="35" customFormat="1" ht="20.100000000000001" customHeight="1" x14ac:dyDescent="0.3">
      <c r="B14" s="118" t="s">
        <v>117</v>
      </c>
      <c r="C14" s="119"/>
      <c r="D14" s="119"/>
      <c r="E14" s="106" t="s">
        <v>69</v>
      </c>
      <c r="F14" s="107"/>
      <c r="H14" s="50" t="s">
        <v>53</v>
      </c>
      <c r="I14" s="51" t="s">
        <v>54</v>
      </c>
      <c r="J14" s="6">
        <f>K8-2*9.7</f>
        <v>980.6</v>
      </c>
      <c r="K14" s="7">
        <f>E10</f>
        <v>2</v>
      </c>
      <c r="L14" s="34">
        <v>0.28299999999999997</v>
      </c>
      <c r="M14" s="35">
        <f t="shared" si="0"/>
        <v>0.55501959999999995</v>
      </c>
      <c r="T14" s="26" t="s">
        <v>45</v>
      </c>
    </row>
    <row r="15" spans="2:21" s="35" customFormat="1" ht="20.100000000000001" customHeight="1" x14ac:dyDescent="0.3">
      <c r="B15" s="118" t="s">
        <v>9</v>
      </c>
      <c r="C15" s="119"/>
      <c r="D15" s="119"/>
      <c r="E15" s="106" t="s">
        <v>69</v>
      </c>
      <c r="F15" s="107"/>
      <c r="H15" s="50" t="s">
        <v>56</v>
      </c>
      <c r="I15" s="52" t="s">
        <v>55</v>
      </c>
      <c r="J15" s="6">
        <f>J14</f>
        <v>980.6</v>
      </c>
      <c r="K15" s="7">
        <f>E10</f>
        <v>2</v>
      </c>
      <c r="L15" s="34">
        <v>0.56000000000000005</v>
      </c>
      <c r="M15" s="35">
        <f t="shared" si="0"/>
        <v>1.0982720000000001</v>
      </c>
    </row>
    <row r="16" spans="2:21" s="35" customFormat="1" ht="20.100000000000001" customHeight="1" thickBot="1" x14ac:dyDescent="0.35">
      <c r="B16" s="118" t="s">
        <v>111</v>
      </c>
      <c r="C16" s="119"/>
      <c r="D16" s="119"/>
      <c r="E16" s="106" t="s">
        <v>69</v>
      </c>
      <c r="F16" s="107"/>
      <c r="H16" s="53" t="s">
        <v>57</v>
      </c>
      <c r="I16" s="54" t="s">
        <v>58</v>
      </c>
      <c r="J16" s="8">
        <f>J14</f>
        <v>980.6</v>
      </c>
      <c r="K16" s="9">
        <f>E10*E13</f>
        <v>0</v>
      </c>
      <c r="L16" s="34">
        <v>0.312</v>
      </c>
      <c r="M16" s="35">
        <f t="shared" si="0"/>
        <v>0</v>
      </c>
    </row>
    <row r="17" spans="2:20" s="35" customFormat="1" ht="20.100000000000001" customHeight="1" thickBot="1" x14ac:dyDescent="0.3">
      <c r="B17" s="120" t="s">
        <v>72</v>
      </c>
      <c r="C17" s="121"/>
      <c r="D17" s="121"/>
      <c r="E17" s="108" t="s">
        <v>74</v>
      </c>
      <c r="F17" s="109"/>
      <c r="H17" s="88"/>
      <c r="I17" s="88"/>
      <c r="J17" s="94"/>
      <c r="K17" s="95"/>
      <c r="M17" s="58">
        <f>SUM(M13:M16)/E10</f>
        <v>1.9918258</v>
      </c>
    </row>
    <row r="18" spans="2:20" s="35" customFormat="1" ht="20.100000000000001" customHeight="1" thickBot="1" x14ac:dyDescent="0.3">
      <c r="B18" s="150" t="s">
        <v>81</v>
      </c>
      <c r="C18" s="151"/>
      <c r="D18" s="151"/>
      <c r="E18" s="148" t="s">
        <v>69</v>
      </c>
      <c r="F18" s="149"/>
      <c r="H18" s="59" t="s">
        <v>8</v>
      </c>
      <c r="I18" s="99" t="s">
        <v>31</v>
      </c>
      <c r="J18" s="124" t="s">
        <v>4</v>
      </c>
      <c r="K18" s="125"/>
      <c r="T18" s="35" t="s">
        <v>61</v>
      </c>
    </row>
    <row r="19" spans="2:20" s="35" customFormat="1" ht="20.100000000000001" customHeight="1" x14ac:dyDescent="0.25">
      <c r="H19" s="50" t="s">
        <v>59</v>
      </c>
      <c r="I19" s="60" t="s">
        <v>60</v>
      </c>
      <c r="J19" s="126">
        <f>E10</f>
        <v>2</v>
      </c>
      <c r="K19" s="127"/>
      <c r="M19" s="35">
        <f>IF(C26=$T$12,((D26*E26*F26/$E$10)/1000000)*8,IF(C26=$T$13,((D26*E26*F26/$E$10)/1000000)*6.5,((D26*E26*F26/$E$10)/1000000)*11))</f>
        <v>12.598949999999999</v>
      </c>
      <c r="T19" s="35" t="s">
        <v>62</v>
      </c>
    </row>
    <row r="20" spans="2:20" s="35" customFormat="1" ht="20.100000000000001" customHeight="1" x14ac:dyDescent="0.25">
      <c r="B20" s="35" t="s">
        <v>13</v>
      </c>
      <c r="H20" s="50" t="s">
        <v>66</v>
      </c>
      <c r="I20" s="31" t="s">
        <v>64</v>
      </c>
      <c r="J20" s="128">
        <f>ROUNDUP(IF(AND(C36&lt;&gt;T51,C26=T13),(D26+E26)*2*F26,0)/1000,0)</f>
        <v>12</v>
      </c>
      <c r="K20" s="129"/>
      <c r="M20" s="35">
        <f>IF(C27=$T$12,((D27*E27*F27/$E$10)/1000000)*8,IF(C27=$T$13,((D27*E27*F27/$E$10)/1000000)*6.5,((D27*E27*F27/$E$10)/1000000)*11))</f>
        <v>0</v>
      </c>
    </row>
    <row r="21" spans="2:20" s="35" customFormat="1" ht="20.100000000000001" customHeight="1" thickBot="1" x14ac:dyDescent="0.3">
      <c r="H21" s="50" t="s">
        <v>67</v>
      </c>
      <c r="I21" s="31" t="s">
        <v>65</v>
      </c>
      <c r="J21" s="128">
        <f>ROUNDUP((IF(AND(E13&lt;&gt;0,C26=T14),(D26+E26+D26)*F26,IF(AND(E13=0,C26=T14),(D26+E26)*2*F26,0))
+IF(C27=T14,D27*2*F27,0)
+IF(C28=T14,D28*2*F28,0)
+IF(C29=T14,D29*2*F29,0)
+IF(C30=T14,(D30+E30+D30)*F30,0))/1000,0)</f>
        <v>0</v>
      </c>
      <c r="K21" s="129"/>
      <c r="M21" s="35">
        <f>IF(C28=$T$12,((D28*E28*F28/$E$10)/1000000)*8,IF(C28=$T$13,((D28*E28*F28/$E$10)/1000000)*6.5,((D28*E28*F28/$E$10)/1000000)*11))</f>
        <v>0</v>
      </c>
    </row>
    <row r="22" spans="2:20" s="35" customFormat="1" ht="20.100000000000001" customHeight="1" thickBot="1" x14ac:dyDescent="0.35">
      <c r="B22" s="63" t="s">
        <v>92</v>
      </c>
      <c r="C22" s="64">
        <f>E13+1</f>
        <v>1</v>
      </c>
      <c r="D22" s="100"/>
      <c r="E22" s="62"/>
      <c r="F22" s="62"/>
      <c r="H22" s="50" t="s">
        <v>80</v>
      </c>
      <c r="I22" s="31" t="s">
        <v>114</v>
      </c>
      <c r="J22" s="128">
        <f>ROUNDUP((IF(AND(E13&lt;&gt;0,C26=T14),E26*F26,0)
+IF(C27=T14,E27*2*F27,0)
+IF(C28=T14,E28*2*F28,0)
+IF(C29=T14,E29*2*F29,0)
+IF(C30=T14,E30*F30,0))/1000,0)</f>
        <v>0</v>
      </c>
      <c r="K22" s="129"/>
      <c r="M22" s="35">
        <f>IF(C29=$T$12,((D29*E29*F29/$E$10)/1000000)*8,IF(C29=$T$13,((D29*E29*F29/$E$10)/1000000)*6.5,((D29*E29*F29/$E$10)/1000000)*11))</f>
        <v>0</v>
      </c>
      <c r="T22" s="34" t="s">
        <v>63</v>
      </c>
    </row>
    <row r="23" spans="2:20" s="35" customFormat="1" ht="20.100000000000001" customHeight="1" thickBot="1" x14ac:dyDescent="0.35">
      <c r="H23" s="50" t="s">
        <v>95</v>
      </c>
      <c r="I23" s="60" t="s">
        <v>75</v>
      </c>
      <c r="J23" s="126">
        <f>IF(M26&lt;30,ROUNDUP(E12/2,0),0)</f>
        <v>0</v>
      </c>
      <c r="K23" s="127"/>
      <c r="M23" s="35">
        <f>IF(C30=$T$12,((D30*E30*F30/$E$10)/1000000)*8,IF(C30=$T$13,((D30*E30*F30/$E$10)/1000000)*6.5,((D30*E30*F30/$E$10)/1000000)*11))</f>
        <v>0</v>
      </c>
      <c r="T23" s="34" t="s">
        <v>14</v>
      </c>
    </row>
    <row r="24" spans="2:20" s="35" customFormat="1" ht="20.100000000000001" customHeight="1" thickBot="1" x14ac:dyDescent="0.3">
      <c r="H24" s="50" t="s">
        <v>95</v>
      </c>
      <c r="I24" s="60" t="s">
        <v>76</v>
      </c>
      <c r="J24" s="126">
        <f>IF(AND(M26&gt;=30,M26&lt;50),ROUNDUP(E12/2,0),0)</f>
        <v>0</v>
      </c>
      <c r="K24" s="127"/>
      <c r="M24" s="58">
        <f>SUM(M19:M23)</f>
        <v>12.598949999999999</v>
      </c>
    </row>
    <row r="25" spans="2:20" s="35" customFormat="1" ht="20.100000000000001" customHeight="1" thickBot="1" x14ac:dyDescent="0.3">
      <c r="B25" s="65" t="s">
        <v>33</v>
      </c>
      <c r="C25" s="66" t="s">
        <v>34</v>
      </c>
      <c r="D25" s="66" t="s">
        <v>35</v>
      </c>
      <c r="E25" s="67" t="s">
        <v>36</v>
      </c>
      <c r="F25" s="68" t="s">
        <v>93</v>
      </c>
      <c r="G25" s="73">
        <f>IF(D26&lt;&gt;0,1,0)</f>
        <v>1</v>
      </c>
      <c r="H25" s="50" t="s">
        <v>95</v>
      </c>
      <c r="I25" s="60" t="s">
        <v>77</v>
      </c>
      <c r="J25" s="126">
        <f>IF(AND(M26&gt;=50,M26&lt;70),ROUNDUP(E12/2,0),0)</f>
        <v>0</v>
      </c>
      <c r="K25" s="127"/>
    </row>
    <row r="26" spans="2:20" s="35" customFormat="1" ht="20.100000000000001" customHeight="1" thickBot="1" x14ac:dyDescent="0.3">
      <c r="B26" s="50" t="s">
        <v>37</v>
      </c>
      <c r="C26" s="21" t="s">
        <v>44</v>
      </c>
      <c r="D26" s="22">
        <f>ROUNDDOWN(K7-IF(D30=0,0,IF(C30=T12,D30,IF(C30=T13,D30+2,D30+3)))-IF(D29=0,0,IF(C29=T12,D29,IF(C29=T13,D29+2,D29+3)))-IF(D28=0,0,IF(C28=T12,D28,IF(C28=T13,D28+2,D28+3)))-IF(D27=0,0,IF(C27=T12,D27,IF(C27=T13,D27+2,D27+3)))-3-IF(C26=T13,2,IF(C26=T14,3,0))-E13*1.3,0)</f>
        <v>1950</v>
      </c>
      <c r="E26" s="71">
        <f>IF(C26=T12,K8-4,IF(C26=T13,K8-4-2,K8-4-3))</f>
        <v>994</v>
      </c>
      <c r="F26" s="72">
        <f>$E$10</f>
        <v>2</v>
      </c>
      <c r="G26" s="73">
        <f>IF(D27&lt;&gt;0,1,0)</f>
        <v>0</v>
      </c>
      <c r="H26" s="50" t="s">
        <v>112</v>
      </c>
      <c r="I26" s="60" t="s">
        <v>83</v>
      </c>
      <c r="J26" s="130">
        <f>IF(E16=T43,E10*2-E12,0)</f>
        <v>0</v>
      </c>
      <c r="K26" s="131"/>
      <c r="L26" s="69" t="s">
        <v>94</v>
      </c>
      <c r="M26" s="70">
        <f>(M24+M17)*1.05</f>
        <v>15.320314590000001</v>
      </c>
      <c r="T26" s="27">
        <v>0</v>
      </c>
    </row>
    <row r="27" spans="2:20" s="35" customFormat="1" ht="20.100000000000001" customHeight="1" x14ac:dyDescent="0.25">
      <c r="B27" s="50" t="s">
        <v>38</v>
      </c>
      <c r="C27" s="21" t="s">
        <v>45</v>
      </c>
      <c r="D27" s="23">
        <v>0</v>
      </c>
      <c r="E27" s="71">
        <f>IF(C27=$T$34,$K$8-4,$K$8-4-3)</f>
        <v>993</v>
      </c>
      <c r="F27" s="72">
        <f>IF(D27&lt;&gt;0,$E$10,0)</f>
        <v>0</v>
      </c>
      <c r="G27" s="73">
        <f>IF(D28&lt;&gt;0,1,0)</f>
        <v>0</v>
      </c>
      <c r="H27" s="50" t="s">
        <v>113</v>
      </c>
      <c r="I27" s="60" t="s">
        <v>84</v>
      </c>
      <c r="J27" s="130">
        <f>IF(E16=T44,E10*2-E12,0)</f>
        <v>0</v>
      </c>
      <c r="K27" s="131"/>
      <c r="T27" s="27">
        <v>1</v>
      </c>
    </row>
    <row r="28" spans="2:20" s="35" customFormat="1" ht="20.100000000000001" customHeight="1" x14ac:dyDescent="0.3">
      <c r="B28" s="50" t="s">
        <v>39</v>
      </c>
      <c r="C28" s="21" t="s">
        <v>43</v>
      </c>
      <c r="D28" s="23">
        <v>0</v>
      </c>
      <c r="E28" s="71">
        <f t="shared" ref="E28:E30" si="1">IF(C28=$T$34,$K$8-4,$K$8-4-3)</f>
        <v>996</v>
      </c>
      <c r="F28" s="72">
        <f t="shared" ref="F28:F30" si="2">IF(D28&lt;&gt;0,$E$10,0)</f>
        <v>0</v>
      </c>
      <c r="G28" s="73">
        <f>IF(D29&lt;&gt;0,1,0)</f>
        <v>0</v>
      </c>
      <c r="H28" s="74" t="s">
        <v>73</v>
      </c>
      <c r="I28" s="75" t="s">
        <v>85</v>
      </c>
      <c r="J28" s="132">
        <f>IF(E17=T47,K14*2+K15*2+K16*2,0)</f>
        <v>0</v>
      </c>
      <c r="K28" s="133"/>
      <c r="T28" s="27">
        <v>2</v>
      </c>
    </row>
    <row r="29" spans="2:20" s="35" customFormat="1" ht="20.100000000000001" customHeight="1" x14ac:dyDescent="0.25">
      <c r="B29" s="50" t="s">
        <v>40</v>
      </c>
      <c r="C29" s="21" t="s">
        <v>43</v>
      </c>
      <c r="D29" s="23">
        <v>0</v>
      </c>
      <c r="E29" s="71">
        <f t="shared" si="1"/>
        <v>996</v>
      </c>
      <c r="F29" s="72">
        <f t="shared" si="2"/>
        <v>0</v>
      </c>
      <c r="G29" s="73">
        <f>IF(D30&lt;&gt;0,1,0)</f>
        <v>0</v>
      </c>
      <c r="H29" s="79" t="s">
        <v>90</v>
      </c>
      <c r="I29" s="28" t="s">
        <v>86</v>
      </c>
      <c r="J29" s="136">
        <f>IF(E17=T48,ROUNDUP(K13*K7/1000,0),0)</f>
        <v>8</v>
      </c>
      <c r="K29" s="137"/>
      <c r="M29" s="101"/>
      <c r="T29" s="27">
        <v>3</v>
      </c>
    </row>
    <row r="30" spans="2:20" s="35" customFormat="1" ht="20.100000000000001" customHeight="1" thickBot="1" x14ac:dyDescent="0.3">
      <c r="B30" s="76" t="s">
        <v>41</v>
      </c>
      <c r="C30" s="24" t="s">
        <v>45</v>
      </c>
      <c r="D30" s="25">
        <v>0</v>
      </c>
      <c r="E30" s="77">
        <f t="shared" si="1"/>
        <v>993</v>
      </c>
      <c r="F30" s="78">
        <f t="shared" si="2"/>
        <v>0</v>
      </c>
      <c r="H30" s="50" t="s">
        <v>78</v>
      </c>
      <c r="I30" s="60" t="s">
        <v>79</v>
      </c>
      <c r="J30" s="134">
        <f>IF(J29&gt;0,K13*2,0)</f>
        <v>8</v>
      </c>
      <c r="K30" s="138"/>
      <c r="L30" s="102"/>
      <c r="T30" s="27">
        <v>4</v>
      </c>
    </row>
    <row r="31" spans="2:20" ht="20.100000000000001" customHeight="1" x14ac:dyDescent="0.3">
      <c r="B31" s="35"/>
      <c r="C31" s="35"/>
      <c r="D31" s="35"/>
      <c r="E31" s="35"/>
      <c r="F31" s="35"/>
      <c r="G31" s="35"/>
      <c r="H31" s="50" t="s">
        <v>89</v>
      </c>
      <c r="I31" s="60" t="s">
        <v>87</v>
      </c>
      <c r="J31" s="136">
        <f>ROUNDUP(K13*K7/1000,0)</f>
        <v>8</v>
      </c>
      <c r="K31" s="140"/>
      <c r="L31" s="103"/>
    </row>
    <row r="32" spans="2:20" ht="20.100000000000001" customHeight="1" x14ac:dyDescent="0.3">
      <c r="B32" s="35"/>
      <c r="C32" s="80" t="str">
        <f>IF((SUM(G25:G29)/C22)&lt;&gt;1,T18,T19)</f>
        <v>Верно внесены высоты вставок</v>
      </c>
      <c r="D32" s="33">
        <f>IF(C32=T19,1,0)</f>
        <v>1</v>
      </c>
      <c r="E32" s="35"/>
      <c r="F32" s="35"/>
      <c r="G32" s="35"/>
      <c r="H32" s="50" t="s">
        <v>9</v>
      </c>
      <c r="I32" s="60" t="s">
        <v>88</v>
      </c>
      <c r="J32" s="136">
        <f>IF(E15=T37,ROUNDUP((J12+40)*2/1000,0),0)</f>
        <v>0</v>
      </c>
      <c r="K32" s="140"/>
    </row>
    <row r="33" spans="2:20" ht="21" customHeight="1" x14ac:dyDescent="0.3">
      <c r="B33" s="35"/>
      <c r="C33" s="35"/>
      <c r="D33" s="35"/>
      <c r="E33" s="35"/>
      <c r="F33" s="35"/>
      <c r="G33" s="35"/>
      <c r="H33" s="50" t="s">
        <v>46</v>
      </c>
      <c r="I33" s="60" t="s">
        <v>47</v>
      </c>
      <c r="J33" s="134">
        <f>K16*2</f>
        <v>0</v>
      </c>
      <c r="K33" s="135"/>
    </row>
    <row r="34" spans="2:20" ht="20.100000000000001" customHeight="1" thickBot="1" x14ac:dyDescent="0.35">
      <c r="B34" s="35"/>
      <c r="C34" s="81" t="str">
        <f>IF(AND(SUM(G25:G29)/C22=1,D30=0,C22&lt;&gt;1),T22,T23)</f>
        <v xml:space="preserve"> </v>
      </c>
      <c r="D34" s="81"/>
      <c r="E34" s="35"/>
      <c r="F34" s="35"/>
      <c r="G34" s="35"/>
      <c r="H34" s="53" t="s">
        <v>81</v>
      </c>
      <c r="I34" s="85" t="s">
        <v>82</v>
      </c>
      <c r="J34" s="122">
        <f>IF(E18=T37,E11,0)</f>
        <v>0</v>
      </c>
      <c r="K34" s="123"/>
      <c r="T34" s="26" t="s">
        <v>43</v>
      </c>
    </row>
    <row r="35" spans="2:20" ht="20.100000000000001" customHeight="1" x14ac:dyDescent="0.3">
      <c r="B35" s="35"/>
      <c r="C35" s="35"/>
      <c r="D35" s="35"/>
      <c r="E35" s="35"/>
      <c r="F35" s="35"/>
      <c r="G35" s="35"/>
      <c r="H35" s="104"/>
      <c r="T35" s="26" t="s">
        <v>45</v>
      </c>
    </row>
    <row r="36" spans="2:20" ht="20.100000000000001" customHeight="1" thickBot="1" x14ac:dyDescent="0.35">
      <c r="B36" s="35"/>
      <c r="C36" s="34" t="str">
        <f xml:space="preserve"> IF(AND(C22&lt;&gt;1,C26=T13),T51,T52)</f>
        <v xml:space="preserve"> </v>
      </c>
      <c r="D36" s="81"/>
      <c r="E36" s="35"/>
      <c r="F36" s="35"/>
      <c r="G36" s="35"/>
      <c r="H36" s="34" t="s">
        <v>104</v>
      </c>
      <c r="K36" s="105" t="s">
        <v>21</v>
      </c>
    </row>
    <row r="37" spans="2:20" ht="20.100000000000001" customHeight="1" thickBot="1" x14ac:dyDescent="0.35">
      <c r="B37" s="35"/>
      <c r="C37" s="35"/>
      <c r="D37" s="35"/>
      <c r="E37" s="86" t="s">
        <v>96</v>
      </c>
      <c r="F37" s="87">
        <f>ROUNDUP(M26,0)</f>
        <v>16</v>
      </c>
      <c r="G37" s="35"/>
      <c r="T37" s="34" t="s">
        <v>68</v>
      </c>
    </row>
    <row r="38" spans="2:20" x14ac:dyDescent="0.3">
      <c r="B38" s="35"/>
      <c r="E38" s="35"/>
      <c r="F38" s="35"/>
      <c r="G38" s="35"/>
      <c r="T38" s="35" t="s">
        <v>69</v>
      </c>
    </row>
    <row r="39" spans="2:20" x14ac:dyDescent="0.3">
      <c r="G39" s="35"/>
    </row>
    <row r="40" spans="2:20" x14ac:dyDescent="0.3">
      <c r="G40" s="35"/>
    </row>
    <row r="41" spans="2:20" x14ac:dyDescent="0.3">
      <c r="G41" s="35"/>
    </row>
    <row r="42" spans="2:20" x14ac:dyDescent="0.3">
      <c r="G42" s="35"/>
      <c r="T42" s="34" t="s">
        <v>69</v>
      </c>
    </row>
    <row r="43" spans="2:20" x14ac:dyDescent="0.3">
      <c r="T43" s="34" t="s">
        <v>70</v>
      </c>
    </row>
    <row r="44" spans="2:20" x14ac:dyDescent="0.3">
      <c r="T44" s="34" t="s">
        <v>71</v>
      </c>
    </row>
    <row r="47" spans="2:20" x14ac:dyDescent="0.3">
      <c r="T47" s="29" t="s">
        <v>73</v>
      </c>
    </row>
    <row r="48" spans="2:20" x14ac:dyDescent="0.3">
      <c r="T48" s="30" t="s">
        <v>74</v>
      </c>
    </row>
    <row r="49" spans="20:20" x14ac:dyDescent="0.3">
      <c r="T49" s="29"/>
    </row>
    <row r="51" spans="20:20" x14ac:dyDescent="0.3">
      <c r="T51" s="34" t="s">
        <v>91</v>
      </c>
    </row>
    <row r="52" spans="20:20" x14ac:dyDescent="0.3">
      <c r="T52" s="34" t="s">
        <v>14</v>
      </c>
    </row>
  </sheetData>
  <sheetProtection algorithmName="SHA-512" hashValue="H5Znn3D0v8qSEc/wl3qxiGBzPIgrU5RMk4TPaxLFRFp0Ed1cJfRij7FbuMk1lye3q3JL+sOPykiS1ZR0uFTm3g==" saltValue="7TxbLuTYsZMHt7grT6H/pA==" spinCount="100000" sheet="1" selectLockedCells="1"/>
  <mergeCells count="46">
    <mergeCell ref="B2:K2"/>
    <mergeCell ref="J31:K31"/>
    <mergeCell ref="J32:K32"/>
    <mergeCell ref="B3:K3"/>
    <mergeCell ref="B5:E5"/>
    <mergeCell ref="H5:K5"/>
    <mergeCell ref="H7:I8"/>
    <mergeCell ref="E18:F18"/>
    <mergeCell ref="B18:D18"/>
    <mergeCell ref="E7:F7"/>
    <mergeCell ref="E8:F8"/>
    <mergeCell ref="E9:F9"/>
    <mergeCell ref="E10:F10"/>
    <mergeCell ref="E11:F11"/>
    <mergeCell ref="E12:F12"/>
    <mergeCell ref="E13:F13"/>
    <mergeCell ref="J34:K34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8:K28"/>
    <mergeCell ref="J33:K33"/>
    <mergeCell ref="J27:K27"/>
    <mergeCell ref="J29:K29"/>
    <mergeCell ref="J30:K30"/>
    <mergeCell ref="E15:F15"/>
    <mergeCell ref="E16:F16"/>
    <mergeCell ref="E17:F17"/>
    <mergeCell ref="B7:D7"/>
    <mergeCell ref="B8:D8"/>
    <mergeCell ref="B9:D9"/>
    <mergeCell ref="B10:D10"/>
    <mergeCell ref="B11:D11"/>
    <mergeCell ref="B12:D12"/>
    <mergeCell ref="B13:D13"/>
    <mergeCell ref="B15:D15"/>
    <mergeCell ref="B16:D16"/>
    <mergeCell ref="B17:D17"/>
    <mergeCell ref="B14:D14"/>
    <mergeCell ref="E14:F14"/>
  </mergeCells>
  <conditionalFormatting sqref="C32">
    <cfRule type="expression" dxfId="15" priority="7">
      <formula>$C$32=$T$18</formula>
    </cfRule>
    <cfRule type="expression" dxfId="14" priority="8">
      <formula>$C$32=$T$19</formula>
    </cfRule>
  </conditionalFormatting>
  <conditionalFormatting sqref="C34">
    <cfRule type="expression" dxfId="13" priority="3">
      <formula>$C$34=$T$22</formula>
    </cfRule>
  </conditionalFormatting>
  <conditionalFormatting sqref="C26 C36">
    <cfRule type="expression" dxfId="12" priority="2">
      <formula>$C$36=$T$51</formula>
    </cfRule>
  </conditionalFormatting>
  <dataValidations count="10">
    <dataValidation type="whole" allowBlank="1" showInputMessage="1" showErrorMessage="1" sqref="E11">
      <formula1>1</formula1>
      <formula2>4</formula2>
    </dataValidation>
    <dataValidation type="whole" allowBlank="1" showInputMessage="1" showErrorMessage="1" sqref="E10">
      <formula1>1</formula1>
      <formula2>5</formula2>
    </dataValidation>
    <dataValidation type="list" operator="greaterThan" allowBlank="1" showInputMessage="1" showErrorMessage="1" sqref="E13">
      <formula1>$T$26:$T$30</formula1>
    </dataValidation>
    <dataValidation type="whole" allowBlank="1" showInputMessage="1" showErrorMessage="1" errorTitle="Неверное количество" error="Не более двух доводчиков на одну дверь." sqref="E12">
      <formula1>0</formula1>
      <formula2>E10*2</formula2>
    </dataValidation>
    <dataValidation type="list" allowBlank="1" showInputMessage="1" showErrorMessage="1" sqref="E9">
      <formula1>$T$4:$T$8</formula1>
    </dataValidation>
    <dataValidation type="list" allowBlank="1" showInputMessage="1" showErrorMessage="1" sqref="C26">
      <formula1>$T$12:$T$14</formula1>
    </dataValidation>
    <dataValidation type="list" allowBlank="1" showInputMessage="1" showErrorMessage="1" sqref="C27:C30">
      <formula1>$T$34:$T$35</formula1>
    </dataValidation>
    <dataValidation type="list" allowBlank="1" showInputMessage="1" showErrorMessage="1" sqref="E16">
      <formula1>$T$42:$T$44</formula1>
    </dataValidation>
    <dataValidation type="list" allowBlank="1" showInputMessage="1" showErrorMessage="1" sqref="E17">
      <formula1>$T$47:$T$48</formula1>
    </dataValidation>
    <dataValidation type="list" allowBlank="1" showInputMessage="1" showErrorMessage="1" sqref="E18 E15 E14:F14">
      <formula1>$T$37:$T$38</formula1>
    </dataValidation>
  </dataValidations>
  <hyperlinks>
    <hyperlink ref="K36" location="Оглавление!A1" display="оглавление"/>
  </hyperlinks>
  <printOptions horizontalCentered="1"/>
  <pageMargins left="0.39370078740157483" right="0.39370078740157483" top="0.39370078740157483" bottom="0.39370078740157483" header="0" footer="0"/>
  <pageSetup paperSize="9" scale="6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FB184399-AE79-4CCF-B7D7-AF8B8616D2C5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B1:Y58"/>
  <sheetViews>
    <sheetView zoomScale="70" zoomScaleNormal="70" workbookViewId="0">
      <selection activeCell="E7" sqref="E7:F7"/>
    </sheetView>
  </sheetViews>
  <sheetFormatPr defaultColWidth="9.140625" defaultRowHeight="18.75" x14ac:dyDescent="0.3"/>
  <cols>
    <col min="1" max="1" width="2.5703125" style="34" customWidth="1"/>
    <col min="2" max="3" width="43.7109375" style="34" customWidth="1"/>
    <col min="4" max="4" width="14.7109375" style="34" customWidth="1"/>
    <col min="5" max="6" width="14.7109375" style="33" customWidth="1"/>
    <col min="7" max="7" width="3.140625" style="34" customWidth="1"/>
    <col min="8" max="8" width="78.7109375" style="34" customWidth="1"/>
    <col min="9" max="9" width="18.7109375" style="34" customWidth="1"/>
    <col min="10" max="10" width="16.7109375" style="34" customWidth="1"/>
    <col min="11" max="11" width="13.42578125" style="34" customWidth="1"/>
    <col min="12" max="12" width="13.42578125" style="34" hidden="1" customWidth="1"/>
    <col min="13" max="13" width="9.5703125" style="34" hidden="1" customWidth="1"/>
    <col min="14" max="23" width="9.140625" style="34"/>
    <col min="24" max="24" width="27.85546875" style="34" hidden="1" customWidth="1"/>
    <col min="25" max="25" width="0" style="34" hidden="1" customWidth="1"/>
    <col min="26" max="16384" width="9.140625" style="34"/>
  </cols>
  <sheetData>
    <row r="1" spans="2:25" x14ac:dyDescent="0.3">
      <c r="B1" s="32"/>
      <c r="C1" s="32"/>
      <c r="D1" s="32"/>
    </row>
    <row r="2" spans="2:25" s="35" customFormat="1" ht="27.6" customHeight="1" x14ac:dyDescent="0.25">
      <c r="B2" s="141" t="s">
        <v>24</v>
      </c>
      <c r="C2" s="141"/>
      <c r="D2" s="141"/>
      <c r="E2" s="141"/>
      <c r="F2" s="141"/>
      <c r="G2" s="142"/>
      <c r="H2" s="142"/>
      <c r="I2" s="142"/>
      <c r="J2" s="142"/>
      <c r="K2" s="142"/>
      <c r="X2" s="36" t="s">
        <v>51</v>
      </c>
      <c r="Y2" s="35" t="s">
        <v>52</v>
      </c>
    </row>
    <row r="3" spans="2:25" s="36" customFormat="1" ht="26.1" customHeight="1" x14ac:dyDescent="0.25">
      <c r="B3" s="141" t="s">
        <v>17</v>
      </c>
      <c r="C3" s="141"/>
      <c r="D3" s="141"/>
      <c r="E3" s="141"/>
      <c r="F3" s="141"/>
      <c r="G3" s="142"/>
      <c r="H3" s="142"/>
      <c r="I3" s="142"/>
      <c r="J3" s="142"/>
      <c r="K3" s="142"/>
      <c r="X3" s="36" t="s">
        <v>115</v>
      </c>
      <c r="Y3" s="35" t="s">
        <v>116</v>
      </c>
    </row>
    <row r="4" spans="2:25" s="36" customFormat="1" ht="20.100000000000001" customHeight="1" x14ac:dyDescent="0.3">
      <c r="B4" s="37"/>
      <c r="C4" s="37"/>
      <c r="D4" s="37"/>
      <c r="E4" s="37"/>
      <c r="F4" s="37"/>
      <c r="H4" s="38"/>
      <c r="I4" s="38"/>
      <c r="J4" s="38"/>
      <c r="K4" s="38"/>
    </row>
    <row r="5" spans="2:25" s="36" customFormat="1" ht="20.100000000000001" customHeight="1" x14ac:dyDescent="0.25">
      <c r="B5" s="143" t="s">
        <v>11</v>
      </c>
      <c r="C5" s="143"/>
      <c r="D5" s="143"/>
      <c r="E5" s="143"/>
      <c r="F5" s="143"/>
      <c r="H5" s="143" t="s">
        <v>10</v>
      </c>
      <c r="I5" s="143"/>
      <c r="J5" s="143"/>
      <c r="K5" s="143"/>
      <c r="X5" s="39" t="s">
        <v>26</v>
      </c>
    </row>
    <row r="6" spans="2:25" s="36" customFormat="1" ht="20.100000000000001" customHeight="1" thickBot="1" x14ac:dyDescent="0.3">
      <c r="B6" s="40"/>
      <c r="C6" s="40"/>
      <c r="D6" s="40"/>
      <c r="E6" s="40"/>
      <c r="F6" s="40"/>
      <c r="H6" s="40"/>
      <c r="I6" s="40"/>
      <c r="J6" s="40"/>
      <c r="K6" s="40"/>
      <c r="X6" s="39" t="s">
        <v>27</v>
      </c>
    </row>
    <row r="7" spans="2:25" s="35" customFormat="1" ht="20.100000000000001" customHeight="1" x14ac:dyDescent="0.25">
      <c r="B7" s="110" t="s">
        <v>19</v>
      </c>
      <c r="C7" s="111"/>
      <c r="D7" s="111"/>
      <c r="E7" s="152">
        <v>2000</v>
      </c>
      <c r="F7" s="153"/>
      <c r="H7" s="144" t="s">
        <v>7</v>
      </c>
      <c r="I7" s="145"/>
      <c r="J7" s="41" t="s">
        <v>5</v>
      </c>
      <c r="K7" s="1">
        <f>IF(E15=X39,E7+6,E7+12)</f>
        <v>2006</v>
      </c>
      <c r="X7" s="39" t="s">
        <v>28</v>
      </c>
    </row>
    <row r="8" spans="2:25" s="35" customFormat="1" ht="20.100000000000001" customHeight="1" thickBot="1" x14ac:dyDescent="0.3">
      <c r="B8" s="112" t="s">
        <v>15</v>
      </c>
      <c r="C8" s="113"/>
      <c r="D8" s="113"/>
      <c r="E8" s="154">
        <v>2000</v>
      </c>
      <c r="F8" s="155"/>
      <c r="H8" s="146"/>
      <c r="I8" s="147"/>
      <c r="J8" s="42" t="s">
        <v>6</v>
      </c>
      <c r="K8" s="2">
        <f>ROUNDUP(IF(AND(E18=X49,E9=X8),(E8-20+E11*10)/E10,
IF(AND(E18=X49,E9&lt;&gt;X8),(E8-10+E11*10)/E10,(E8+E11*10)/E10)),0)</f>
        <v>1000</v>
      </c>
      <c r="X8" s="39" t="s">
        <v>29</v>
      </c>
    </row>
    <row r="9" spans="2:25" s="35" customFormat="1" ht="20.100000000000001" customHeight="1" thickBot="1" x14ac:dyDescent="0.3">
      <c r="B9" s="114" t="s">
        <v>32</v>
      </c>
      <c r="C9" s="115"/>
      <c r="D9" s="115"/>
      <c r="E9" s="154" t="s">
        <v>26</v>
      </c>
      <c r="F9" s="155"/>
      <c r="H9" s="43"/>
      <c r="I9" s="43"/>
      <c r="J9" s="44"/>
      <c r="K9" s="3"/>
      <c r="X9" s="39" t="s">
        <v>30</v>
      </c>
    </row>
    <row r="10" spans="2:25" s="35" customFormat="1" ht="20.100000000000001" customHeight="1" x14ac:dyDescent="0.25">
      <c r="B10" s="112" t="s">
        <v>1</v>
      </c>
      <c r="C10" s="113"/>
      <c r="D10" s="113"/>
      <c r="E10" s="156">
        <f>IF(E9=X5,2,IF(E9=X6,3,IF(E9=X7,4,IF(E9=X8,4,IF(E9=X9,5)))))</f>
        <v>2</v>
      </c>
      <c r="F10" s="157"/>
      <c r="H10" s="45" t="s">
        <v>2</v>
      </c>
      <c r="I10" s="46" t="s">
        <v>31</v>
      </c>
      <c r="J10" s="41" t="s">
        <v>3</v>
      </c>
      <c r="K10" s="47" t="s">
        <v>4</v>
      </c>
    </row>
    <row r="11" spans="2:25" s="35" customFormat="1" ht="20.100000000000001" customHeight="1" x14ac:dyDescent="0.3">
      <c r="B11" s="112" t="s">
        <v>42</v>
      </c>
      <c r="C11" s="113"/>
      <c r="D11" s="113"/>
      <c r="E11" s="156">
        <f>IF(E9=X5,1,IF(E9=X6,2,IF(E9=X7,3,IF(E9=X8,2,IF(E9=X9,4)))))</f>
        <v>1</v>
      </c>
      <c r="F11" s="157"/>
      <c r="H11" s="48" t="s">
        <v>49</v>
      </c>
      <c r="I11" s="49" t="s">
        <v>50</v>
      </c>
      <c r="J11" s="10">
        <f>E8-2-32</f>
        <v>1966</v>
      </c>
      <c r="K11" s="5">
        <v>1</v>
      </c>
      <c r="L11" s="34"/>
    </row>
    <row r="12" spans="2:25" s="35" customFormat="1" ht="20.100000000000001" customHeight="1" x14ac:dyDescent="0.3">
      <c r="B12" s="112" t="s">
        <v>106</v>
      </c>
      <c r="C12" s="113"/>
      <c r="D12" s="113"/>
      <c r="E12" s="158">
        <v>0</v>
      </c>
      <c r="F12" s="159"/>
      <c r="H12" s="48" t="str">
        <f>IF(E15=X39,X2,X3)</f>
        <v xml:space="preserve">Направляющая нижняя </v>
      </c>
      <c r="I12" s="49" t="str">
        <f>IF(E15=X39,Y2,Y3)</f>
        <v>CKRU0504</v>
      </c>
      <c r="J12" s="10">
        <f>E8-2</f>
        <v>1998</v>
      </c>
      <c r="K12" s="5">
        <f>IF(E15=X39,1,2)</f>
        <v>1</v>
      </c>
      <c r="L12" s="34"/>
    </row>
    <row r="13" spans="2:25" s="35" customFormat="1" ht="20.100000000000001" customHeight="1" x14ac:dyDescent="0.3">
      <c r="B13" s="112" t="s">
        <v>107</v>
      </c>
      <c r="C13" s="113"/>
      <c r="D13" s="113"/>
      <c r="E13" s="158">
        <v>0</v>
      </c>
      <c r="F13" s="159"/>
      <c r="H13" s="50" t="s">
        <v>102</v>
      </c>
      <c r="I13" s="51" t="s">
        <v>48</v>
      </c>
      <c r="J13" s="6">
        <f>K7</f>
        <v>2006</v>
      </c>
      <c r="K13" s="7">
        <f>E10*2</f>
        <v>4</v>
      </c>
      <c r="L13" s="34">
        <v>0.29799999999999999</v>
      </c>
      <c r="M13" s="35">
        <f t="shared" ref="M12:M15" si="0">L13*J13*K13/1000</f>
        <v>2.3911519999999999</v>
      </c>
      <c r="X13" s="26" t="s">
        <v>43</v>
      </c>
    </row>
    <row r="14" spans="2:25" s="35" customFormat="1" ht="20.100000000000001" customHeight="1" x14ac:dyDescent="0.3">
      <c r="B14" s="172" t="s">
        <v>22</v>
      </c>
      <c r="C14" s="173"/>
      <c r="D14" s="174"/>
      <c r="E14" s="177">
        <v>0</v>
      </c>
      <c r="F14" s="178"/>
      <c r="H14" s="50" t="s">
        <v>101</v>
      </c>
      <c r="I14" s="52" t="s">
        <v>55</v>
      </c>
      <c r="J14" s="6">
        <f>K8-2*9.7</f>
        <v>980.6</v>
      </c>
      <c r="K14" s="7">
        <f>E10*2</f>
        <v>4</v>
      </c>
      <c r="L14" s="34">
        <v>0.56000000000000005</v>
      </c>
      <c r="M14" s="35">
        <f t="shared" si="0"/>
        <v>2.1965440000000003</v>
      </c>
      <c r="X14" s="26" t="s">
        <v>44</v>
      </c>
    </row>
    <row r="15" spans="2:25" s="35" customFormat="1" ht="20.100000000000001" customHeight="1" thickBot="1" x14ac:dyDescent="0.35">
      <c r="B15" s="118" t="s">
        <v>117</v>
      </c>
      <c r="C15" s="119"/>
      <c r="D15" s="119"/>
      <c r="E15" s="106" t="s">
        <v>69</v>
      </c>
      <c r="F15" s="107"/>
      <c r="H15" s="53" t="s">
        <v>57</v>
      </c>
      <c r="I15" s="54" t="s">
        <v>58</v>
      </c>
      <c r="J15" s="8">
        <f>J14</f>
        <v>980.6</v>
      </c>
      <c r="K15" s="9">
        <f>E14*E10</f>
        <v>0</v>
      </c>
      <c r="L15" s="34">
        <v>0.312</v>
      </c>
      <c r="M15" s="35">
        <f t="shared" si="0"/>
        <v>0</v>
      </c>
      <c r="X15" s="26" t="s">
        <v>45</v>
      </c>
    </row>
    <row r="16" spans="2:25" s="35" customFormat="1" ht="20.100000000000001" customHeight="1" thickBot="1" x14ac:dyDescent="0.3">
      <c r="B16" s="169" t="s">
        <v>9</v>
      </c>
      <c r="C16" s="170"/>
      <c r="D16" s="171"/>
      <c r="E16" s="175" t="s">
        <v>69</v>
      </c>
      <c r="F16" s="176"/>
      <c r="H16" s="88"/>
      <c r="I16" s="93"/>
      <c r="J16" s="94"/>
      <c r="K16" s="95"/>
      <c r="M16" s="58">
        <f>SUM(M13:M15)/E10</f>
        <v>2.2938480000000001</v>
      </c>
    </row>
    <row r="17" spans="2:24" s="35" customFormat="1" ht="20.100000000000001" customHeight="1" x14ac:dyDescent="0.25">
      <c r="B17" s="169" t="s">
        <v>111</v>
      </c>
      <c r="C17" s="170"/>
      <c r="D17" s="171"/>
      <c r="E17" s="175" t="s">
        <v>71</v>
      </c>
      <c r="F17" s="176"/>
      <c r="H17" s="59" t="s">
        <v>8</v>
      </c>
      <c r="I17" s="46" t="s">
        <v>31</v>
      </c>
      <c r="J17" s="124" t="s">
        <v>4</v>
      </c>
      <c r="K17" s="125"/>
    </row>
    <row r="18" spans="2:24" s="35" customFormat="1" ht="20.100000000000001" customHeight="1" x14ac:dyDescent="0.25">
      <c r="B18" s="166" t="s">
        <v>72</v>
      </c>
      <c r="C18" s="167"/>
      <c r="D18" s="168"/>
      <c r="E18" s="179" t="s">
        <v>74</v>
      </c>
      <c r="F18" s="180"/>
      <c r="H18" s="50" t="str">
        <f>'Видимый верхний трек'!H19</f>
        <v xml:space="preserve">Комплект колес </v>
      </c>
      <c r="I18" s="60" t="s">
        <v>60</v>
      </c>
      <c r="J18" s="126">
        <f>E10</f>
        <v>2</v>
      </c>
      <c r="K18" s="127"/>
      <c r="M18" s="35">
        <f>IF(C27=$X$13,((D27*E27*F27/$E$10)/1000000)*8,IF(C27=$X$14,((D27*E27*F27/$E$10)/1000000)*6.5,((D27*E27*F27/$E$10)/1000000)*11))</f>
        <v>21.846</v>
      </c>
    </row>
    <row r="19" spans="2:24" s="35" customFormat="1" ht="20.100000000000001" customHeight="1" thickBot="1" x14ac:dyDescent="0.3">
      <c r="B19" s="162" t="s">
        <v>81</v>
      </c>
      <c r="C19" s="163"/>
      <c r="D19" s="164"/>
      <c r="E19" s="160" t="s">
        <v>69</v>
      </c>
      <c r="F19" s="161"/>
      <c r="H19" s="50" t="s">
        <v>100</v>
      </c>
      <c r="I19" s="61" t="s">
        <v>97</v>
      </c>
      <c r="J19" s="126">
        <f>ROUNDUP(IF(E9=X5,2+E12,IF(OR(E9=X6,E9=X7,E9=X8),4+E12,6+E12))/2,0)</f>
        <v>1</v>
      </c>
      <c r="K19" s="127"/>
      <c r="M19" s="35">
        <f>IF(C28=$X$13,((D28*E28*F28/$E$10)/1000000)*8,IF(C28=$X$14,((D28*E28*F28/$E$10)/1000000)*6.5,((D28*E28*F28/$E$10)/1000000)*11))</f>
        <v>0</v>
      </c>
      <c r="X19" s="35" t="s">
        <v>61</v>
      </c>
    </row>
    <row r="20" spans="2:24" s="35" customFormat="1" ht="20.100000000000001" customHeight="1" x14ac:dyDescent="0.25">
      <c r="H20" s="50" t="s">
        <v>99</v>
      </c>
      <c r="I20" s="61" t="s">
        <v>98</v>
      </c>
      <c r="J20" s="126">
        <f>ROUNDUP(IF(OR(E9=X5,E9=X6),2+E13,4+E13)/2,0)</f>
        <v>1</v>
      </c>
      <c r="K20" s="127"/>
      <c r="M20" s="35">
        <f>IF(C29=$X$13,((D29*E29*F29/$E$10)/1000000)*8,IF(C29=$X$14,((D29*E29*F29/$E$10)/1000000)*6.5,((D29*E29*F29/$E$10)/1000000)*11))</f>
        <v>0</v>
      </c>
      <c r="X20" s="35" t="s">
        <v>62</v>
      </c>
    </row>
    <row r="21" spans="2:24" s="35" customFormat="1" ht="20.100000000000001" customHeight="1" x14ac:dyDescent="0.25">
      <c r="B21" s="35" t="s">
        <v>13</v>
      </c>
      <c r="H21" s="50" t="s">
        <v>66</v>
      </c>
      <c r="I21" s="31" t="s">
        <v>64</v>
      </c>
      <c r="J21" s="128">
        <f>ROUNDUP(IF(AND(C37&lt;&gt;X52,C27=X14),(D27+E27)*2*F27,0)/1000,0)</f>
        <v>0</v>
      </c>
      <c r="K21" s="129"/>
      <c r="M21" s="35">
        <f>IF(C30=$X$13,((D30*E30*F30/$E$10)/1000000)*8,IF(C30=$X$14,((D30*E30*F30/$E$10)/1000000)*6.5,((D30*E30*F30/$E$10)/1000000)*11))</f>
        <v>0</v>
      </c>
    </row>
    <row r="22" spans="2:24" s="35" customFormat="1" ht="20.100000000000001" customHeight="1" thickBot="1" x14ac:dyDescent="0.3">
      <c r="B22" s="35" t="s">
        <v>20</v>
      </c>
      <c r="H22" s="50" t="s">
        <v>67</v>
      </c>
      <c r="I22" s="31" t="s">
        <v>65</v>
      </c>
      <c r="J22" s="128">
        <f>ROUNDUP((IF(AND(E14&lt;&gt;0,C27=X15),(D27+E27+D27)*F27,IF(AND(E14=0,C27=X15),(D27+E27)*2*F27,0))
+IF(C28=X15,D28*2*F28,0)
+IF(C29=X15,D29*2*F29,0)
+IF(C30=X15,D30*2*F30,0)
+IF(C31=X15,(D31+E31+D31)*F31,0))/1000,0)</f>
        <v>12</v>
      </c>
      <c r="K22" s="129"/>
      <c r="M22" s="35">
        <f>IF(C31=$X$13,((D31*E31*F31/$E$10)/1000000)*8,IF(C31=$X$14,((D31*E31*F31/$E$10)/1000000)*6.5,((D31*E31*F31/$E$10)/1000000)*11))</f>
        <v>0</v>
      </c>
    </row>
    <row r="23" spans="2:24" s="35" customFormat="1" ht="20.100000000000001" customHeight="1" thickBot="1" x14ac:dyDescent="0.35">
      <c r="D23" s="62"/>
      <c r="E23" s="62"/>
      <c r="F23" s="62"/>
      <c r="H23" s="50" t="s">
        <v>80</v>
      </c>
      <c r="I23" s="31" t="s">
        <v>114</v>
      </c>
      <c r="J23" s="128">
        <f>ROUNDUP((IF(AND(E14&lt;&gt;0,C27=X15),E27*F27,0)
+IF(C28=X15,E28*2*F28,0)
+IF(C29=X15,E29*2*F29,0)
+IF(C30=X15,E30*2*F30,0)
+IF(C31=X15,E31*F31,0))/1000,0)</f>
        <v>0</v>
      </c>
      <c r="K23" s="129"/>
      <c r="M23" s="58">
        <f>SUM(M18:M22)</f>
        <v>21.846</v>
      </c>
      <c r="X23" s="34" t="s">
        <v>63</v>
      </c>
    </row>
    <row r="24" spans="2:24" s="35" customFormat="1" ht="20.100000000000001" customHeight="1" thickBot="1" x14ac:dyDescent="0.35">
      <c r="B24" s="63" t="s">
        <v>92</v>
      </c>
      <c r="C24" s="64">
        <f>E14+1</f>
        <v>1</v>
      </c>
      <c r="H24" s="50" t="s">
        <v>105</v>
      </c>
      <c r="I24" s="60" t="s">
        <v>75</v>
      </c>
      <c r="J24" s="126">
        <f>IF(M25&lt;30,ROUNDUP(SUM(E12:F13)/2,0),0)</f>
        <v>0</v>
      </c>
      <c r="K24" s="127"/>
      <c r="X24" s="34" t="s">
        <v>14</v>
      </c>
    </row>
    <row r="25" spans="2:24" s="35" customFormat="1" ht="20.100000000000001" customHeight="1" thickBot="1" x14ac:dyDescent="0.3">
      <c r="H25" s="50" t="s">
        <v>105</v>
      </c>
      <c r="I25" s="60" t="s">
        <v>76</v>
      </c>
      <c r="J25" s="126">
        <f>IF(AND(M25&gt;=30,M25&lt;50),ROUNDUP(SUM(E12:F13)/2,0),0)</f>
        <v>0</v>
      </c>
      <c r="K25" s="127"/>
      <c r="L25" s="69" t="s">
        <v>94</v>
      </c>
      <c r="M25" s="70">
        <f>(M23+M16)*1.05</f>
        <v>25.346840400000001</v>
      </c>
    </row>
    <row r="26" spans="2:24" s="35" customFormat="1" ht="20.100000000000001" customHeight="1" x14ac:dyDescent="0.25">
      <c r="B26" s="65" t="s">
        <v>33</v>
      </c>
      <c r="C26" s="66" t="s">
        <v>34</v>
      </c>
      <c r="D26" s="66" t="s">
        <v>35</v>
      </c>
      <c r="E26" s="67" t="s">
        <v>36</v>
      </c>
      <c r="F26" s="68" t="s">
        <v>93</v>
      </c>
      <c r="G26" s="73">
        <f>IF(D27&lt;&gt;0,1,0)</f>
        <v>1</v>
      </c>
      <c r="H26" s="50" t="s">
        <v>105</v>
      </c>
      <c r="I26" s="60" t="s">
        <v>77</v>
      </c>
      <c r="J26" s="126">
        <f>IF(AND(M25&gt;=50,M25&lt;70),ROUNDUP(SUM(E12:F13)/2,0),0)</f>
        <v>0</v>
      </c>
      <c r="K26" s="127"/>
    </row>
    <row r="27" spans="2:24" s="35" customFormat="1" ht="20.100000000000001" customHeight="1" x14ac:dyDescent="0.25">
      <c r="B27" s="50" t="s">
        <v>37</v>
      </c>
      <c r="C27" s="21" t="s">
        <v>45</v>
      </c>
      <c r="D27" s="22">
        <f>ROUNDDOWN(K7-IF(D31=0,0,IF(C31=X13,D31,IF(C31=X14,D31+2,D31+3)))-IF(D30=0,0,IF(C30=X13,D30,IF(C30=X14,D30+2,D30+3)))-IF(D29=0,0,IF(C29=X13,D29,IF(C29=X14,D29+2,D29+3)))-IF(D28=0,0,IF(C28=X13,D28,IF(C28=X14,D28+2,D28+3)))-3-IF(C27=X14,2,IF(C27=X15,3,0))-E14*1.3,0)</f>
        <v>2000</v>
      </c>
      <c r="E27" s="71">
        <f>IF(C27=X13,K8-4,IF(C27=X14,K8-4-2,K8-4-3))</f>
        <v>993</v>
      </c>
      <c r="F27" s="72">
        <f>$E$10</f>
        <v>2</v>
      </c>
      <c r="G27" s="73">
        <f>IF(D28&lt;&gt;0,1,0)</f>
        <v>0</v>
      </c>
      <c r="H27" s="50" t="s">
        <v>112</v>
      </c>
      <c r="I27" s="60" t="s">
        <v>83</v>
      </c>
      <c r="J27" s="130">
        <f>IF(E17=X44,E10*2-SUM(E12:F13),0)</f>
        <v>0</v>
      </c>
      <c r="K27" s="131"/>
      <c r="X27" s="27">
        <v>0</v>
      </c>
    </row>
    <row r="28" spans="2:24" s="35" customFormat="1" ht="20.100000000000001" customHeight="1" x14ac:dyDescent="0.25">
      <c r="B28" s="50" t="s">
        <v>38</v>
      </c>
      <c r="C28" s="21" t="s">
        <v>45</v>
      </c>
      <c r="D28" s="23">
        <v>0</v>
      </c>
      <c r="E28" s="71">
        <f>IF(C28=$X$35,$K$8-4,$K$8-4-3)</f>
        <v>993</v>
      </c>
      <c r="F28" s="72">
        <f>IF(D28&lt;&gt;0,$E$10,0)</f>
        <v>0</v>
      </c>
      <c r="G28" s="73">
        <f>IF(D29&lt;&gt;0,1,0)</f>
        <v>0</v>
      </c>
      <c r="H28" s="50" t="s">
        <v>113</v>
      </c>
      <c r="I28" s="60" t="s">
        <v>84</v>
      </c>
      <c r="J28" s="130">
        <f>IF(E17=X45,E10*2-SUM(E12:F13),0)</f>
        <v>4</v>
      </c>
      <c r="K28" s="131"/>
      <c r="X28" s="27">
        <v>1</v>
      </c>
    </row>
    <row r="29" spans="2:24" s="35" customFormat="1" ht="20.100000000000001" customHeight="1" x14ac:dyDescent="0.3">
      <c r="B29" s="50" t="s">
        <v>39</v>
      </c>
      <c r="C29" s="21" t="s">
        <v>45</v>
      </c>
      <c r="D29" s="23">
        <v>0</v>
      </c>
      <c r="E29" s="71">
        <f t="shared" ref="E29:E31" si="1">IF(C29=$X$35,$K$8-4,$K$8-4-3)</f>
        <v>993</v>
      </c>
      <c r="F29" s="72">
        <f t="shared" ref="F29:F31" si="2">IF(D29&lt;&gt;0,$E$10,0)</f>
        <v>0</v>
      </c>
      <c r="G29" s="73">
        <f>IF(D30&lt;&gt;0,1,0)</f>
        <v>0</v>
      </c>
      <c r="H29" s="74" t="s">
        <v>73</v>
      </c>
      <c r="I29" s="75" t="s">
        <v>85</v>
      </c>
      <c r="J29" s="132">
        <f>IF(E18=X48,K14*2+K15*2,0)</f>
        <v>0</v>
      </c>
      <c r="K29" s="133"/>
      <c r="X29" s="27">
        <v>2</v>
      </c>
    </row>
    <row r="30" spans="2:24" s="35" customFormat="1" ht="20.100000000000001" customHeight="1" x14ac:dyDescent="0.25">
      <c r="B30" s="50" t="s">
        <v>40</v>
      </c>
      <c r="C30" s="21" t="s">
        <v>45</v>
      </c>
      <c r="D30" s="23">
        <v>0</v>
      </c>
      <c r="E30" s="71">
        <f t="shared" si="1"/>
        <v>993</v>
      </c>
      <c r="F30" s="72">
        <f t="shared" si="2"/>
        <v>0</v>
      </c>
      <c r="G30" s="73">
        <f>IF(D31&lt;&gt;0,1,0)</f>
        <v>0</v>
      </c>
      <c r="H30" s="79" t="s">
        <v>90</v>
      </c>
      <c r="I30" s="28" t="s">
        <v>86</v>
      </c>
      <c r="J30" s="136">
        <f>IF(E18=X49,ROUNDUP(J13*K13/1000,0),0)</f>
        <v>9</v>
      </c>
      <c r="K30" s="137"/>
      <c r="X30" s="27">
        <v>3</v>
      </c>
    </row>
    <row r="31" spans="2:24" s="35" customFormat="1" ht="20.100000000000001" customHeight="1" thickBot="1" x14ac:dyDescent="0.3">
      <c r="B31" s="76" t="s">
        <v>41</v>
      </c>
      <c r="C31" s="24" t="s">
        <v>45</v>
      </c>
      <c r="D31" s="25">
        <v>0</v>
      </c>
      <c r="E31" s="77">
        <f t="shared" si="1"/>
        <v>993</v>
      </c>
      <c r="F31" s="78">
        <f t="shared" si="2"/>
        <v>0</v>
      </c>
      <c r="H31" s="50" t="s">
        <v>78</v>
      </c>
      <c r="I31" s="60" t="s">
        <v>79</v>
      </c>
      <c r="J31" s="134">
        <f>IF(J30&gt;0,K13*2,0)</f>
        <v>8</v>
      </c>
      <c r="K31" s="138"/>
      <c r="X31" s="27">
        <v>4</v>
      </c>
    </row>
    <row r="32" spans="2:24" ht="19.5" customHeight="1" x14ac:dyDescent="0.3">
      <c r="B32" s="35"/>
      <c r="C32" s="35"/>
      <c r="D32" s="35"/>
      <c r="E32" s="35"/>
      <c r="F32" s="35"/>
      <c r="G32" s="35"/>
      <c r="H32" s="50" t="s">
        <v>89</v>
      </c>
      <c r="I32" s="60" t="s">
        <v>87</v>
      </c>
      <c r="J32" s="136">
        <f>ROUNDUP(K13*J13/1000,0)</f>
        <v>9</v>
      </c>
      <c r="K32" s="140"/>
    </row>
    <row r="33" spans="2:24" ht="19.5" customHeight="1" x14ac:dyDescent="0.3">
      <c r="B33" s="35"/>
      <c r="C33" s="80" t="str">
        <f>IF((SUM(G26:G30)/C24)&lt;&gt;1,X19,X20)</f>
        <v>Верно внесены высоты вставок</v>
      </c>
      <c r="D33" s="33">
        <f>IF(C33=X20,1,0)</f>
        <v>1</v>
      </c>
      <c r="E33" s="35"/>
      <c r="F33" s="35"/>
      <c r="G33" s="35"/>
      <c r="H33" s="50" t="s">
        <v>9</v>
      </c>
      <c r="I33" s="60" t="s">
        <v>88</v>
      </c>
      <c r="J33" s="136">
        <f>IF(E16=X38,ROUNDUP((J12+40)*2/1000,0),0)</f>
        <v>0</v>
      </c>
      <c r="K33" s="140"/>
    </row>
    <row r="34" spans="2:24" ht="19.5" customHeight="1" x14ac:dyDescent="0.3">
      <c r="B34" s="35"/>
      <c r="C34" s="35"/>
      <c r="D34" s="35"/>
      <c r="E34" s="35"/>
      <c r="F34" s="35"/>
      <c r="G34" s="35"/>
      <c r="H34" s="82" t="s">
        <v>46</v>
      </c>
      <c r="I34" s="60" t="s">
        <v>47</v>
      </c>
      <c r="J34" s="134">
        <f>K15*2</f>
        <v>0</v>
      </c>
      <c r="K34" s="135"/>
    </row>
    <row r="35" spans="2:24" ht="20.100000000000001" customHeight="1" x14ac:dyDescent="0.3">
      <c r="B35" s="35"/>
      <c r="C35" s="81" t="str">
        <f>IF(AND(SUM(G26:G30)/C24=1,D31=0,C24&lt;&gt;1),X23,X24)</f>
        <v xml:space="preserve"> </v>
      </c>
      <c r="D35" s="81"/>
      <c r="E35" s="35"/>
      <c r="F35" s="35"/>
      <c r="G35" s="35"/>
      <c r="H35" s="50" t="s">
        <v>108</v>
      </c>
      <c r="I35" s="83"/>
      <c r="J35" s="134">
        <f>SUM(J19:K20)*8</f>
        <v>16</v>
      </c>
      <c r="K35" s="135"/>
      <c r="X35" s="26" t="s">
        <v>43</v>
      </c>
    </row>
    <row r="36" spans="2:24" ht="20.100000000000001" customHeight="1" thickBot="1" x14ac:dyDescent="0.35">
      <c r="B36" s="35"/>
      <c r="C36" s="35"/>
      <c r="D36" s="35"/>
      <c r="E36" s="35"/>
      <c r="F36" s="35"/>
      <c r="G36" s="35"/>
      <c r="H36" s="84" t="s">
        <v>109</v>
      </c>
      <c r="I36" s="85" t="s">
        <v>82</v>
      </c>
      <c r="J36" s="122">
        <f>IF(E19=X38,E11,0)</f>
        <v>0</v>
      </c>
      <c r="K36" s="123"/>
      <c r="X36" s="26" t="s">
        <v>45</v>
      </c>
    </row>
    <row r="37" spans="2:24" ht="19.5" customHeight="1" x14ac:dyDescent="0.3">
      <c r="B37" s="35"/>
      <c r="C37" s="34" t="str">
        <f xml:space="preserve"> IF(AND(C24&lt;&gt;1,C27=X14),X52,X53)</f>
        <v xml:space="preserve"> </v>
      </c>
      <c r="D37" s="81"/>
      <c r="E37" s="35"/>
      <c r="F37" s="35"/>
      <c r="G37" s="35"/>
    </row>
    <row r="38" spans="2:24" ht="19.5" customHeight="1" x14ac:dyDescent="0.3">
      <c r="B38" s="35"/>
      <c r="C38" s="35"/>
      <c r="D38" s="35"/>
      <c r="G38" s="35"/>
      <c r="H38" s="165" t="s">
        <v>12</v>
      </c>
      <c r="I38" s="165"/>
      <c r="J38" s="89"/>
      <c r="K38" s="105" t="s">
        <v>21</v>
      </c>
      <c r="X38" s="34" t="s">
        <v>68</v>
      </c>
    </row>
    <row r="39" spans="2:24" ht="19.5" customHeight="1" x14ac:dyDescent="0.3">
      <c r="B39" s="35"/>
      <c r="D39" s="33"/>
      <c r="G39" s="35"/>
      <c r="X39" s="35" t="s">
        <v>69</v>
      </c>
    </row>
    <row r="40" spans="2:24" ht="19.5" customHeight="1" thickBot="1" x14ac:dyDescent="0.35">
      <c r="D40" s="33"/>
      <c r="G40" s="35"/>
      <c r="H40" s="34" t="s">
        <v>103</v>
      </c>
    </row>
    <row r="41" spans="2:24" ht="19.5" customHeight="1" thickBot="1" x14ac:dyDescent="0.35">
      <c r="D41" s="33"/>
      <c r="E41" s="86" t="s">
        <v>96</v>
      </c>
      <c r="F41" s="87">
        <f>ROUNDUP(M25,0)</f>
        <v>26</v>
      </c>
      <c r="G41" s="35"/>
    </row>
    <row r="42" spans="2:24" ht="20.100000000000001" hidden="1" customHeight="1" x14ac:dyDescent="0.3">
      <c r="D42" s="33"/>
      <c r="G42" s="35"/>
    </row>
    <row r="43" spans="2:24" x14ac:dyDescent="0.3">
      <c r="D43" s="33"/>
      <c r="H43" s="34" t="s">
        <v>110</v>
      </c>
      <c r="X43" s="34" t="s">
        <v>69</v>
      </c>
    </row>
    <row r="44" spans="2:24" x14ac:dyDescent="0.3">
      <c r="X44" s="34" t="s">
        <v>70</v>
      </c>
    </row>
    <row r="45" spans="2:24" x14ac:dyDescent="0.3">
      <c r="D45" s="33"/>
      <c r="G45" s="35"/>
      <c r="X45" s="34" t="s">
        <v>71</v>
      </c>
    </row>
    <row r="48" spans="2:24" x14ac:dyDescent="0.3">
      <c r="X48" s="29" t="s">
        <v>73</v>
      </c>
    </row>
    <row r="49" spans="8:24" x14ac:dyDescent="0.3">
      <c r="X49" s="30" t="s">
        <v>74</v>
      </c>
    </row>
    <row r="50" spans="8:24" x14ac:dyDescent="0.3">
      <c r="X50" s="29"/>
    </row>
    <row r="52" spans="8:24" x14ac:dyDescent="0.3">
      <c r="X52" s="34" t="s">
        <v>91</v>
      </c>
    </row>
    <row r="53" spans="8:24" x14ac:dyDescent="0.3">
      <c r="I53" s="96"/>
      <c r="X53" s="34" t="s">
        <v>14</v>
      </c>
    </row>
    <row r="57" spans="8:24" ht="19.5" customHeight="1" x14ac:dyDescent="0.3"/>
    <row r="58" spans="8:24" x14ac:dyDescent="0.3">
      <c r="H58" s="97"/>
    </row>
  </sheetData>
  <sheetProtection algorithmName="SHA-512" hashValue="oAKCeyoz4YfhP6s5WcvIWSIbB/kLgGjODqHCUVl6r4NLX8g6OgLbbP7G2pBUTw8FM8W3hOK26eFesMnqVfkumg==" saltValue="F6fluGEJuSqsNFbMUF9j0A==" spinCount="100000" sheet="1" selectLockedCells="1"/>
  <mergeCells count="52">
    <mergeCell ref="E15:F15"/>
    <mergeCell ref="B15:D15"/>
    <mergeCell ref="B13:D13"/>
    <mergeCell ref="J22:K22"/>
    <mergeCell ref="J23:K23"/>
    <mergeCell ref="J24:K24"/>
    <mergeCell ref="B18:D18"/>
    <mergeCell ref="B16:D16"/>
    <mergeCell ref="B17:D17"/>
    <mergeCell ref="B14:D14"/>
    <mergeCell ref="E16:F16"/>
    <mergeCell ref="E17:F17"/>
    <mergeCell ref="E14:F14"/>
    <mergeCell ref="J21:K21"/>
    <mergeCell ref="J18:K18"/>
    <mergeCell ref="J19:K19"/>
    <mergeCell ref="J20:K20"/>
    <mergeCell ref="E18:F18"/>
    <mergeCell ref="B19:D19"/>
    <mergeCell ref="J27:K27"/>
    <mergeCell ref="J28:K28"/>
    <mergeCell ref="J29:K29"/>
    <mergeCell ref="H38:I38"/>
    <mergeCell ref="E13:F13"/>
    <mergeCell ref="J26:K26"/>
    <mergeCell ref="J30:K30"/>
    <mergeCell ref="J33:K33"/>
    <mergeCell ref="J36:K36"/>
    <mergeCell ref="J32:K32"/>
    <mergeCell ref="J34:K34"/>
    <mergeCell ref="J31:K31"/>
    <mergeCell ref="J35:K35"/>
    <mergeCell ref="J25:K25"/>
    <mergeCell ref="E19:F19"/>
    <mergeCell ref="J17:K17"/>
    <mergeCell ref="B7:D7"/>
    <mergeCell ref="B8:D8"/>
    <mergeCell ref="B10:D10"/>
    <mergeCell ref="B2:K2"/>
    <mergeCell ref="B5:F5"/>
    <mergeCell ref="H5:K5"/>
    <mergeCell ref="E7:F7"/>
    <mergeCell ref="B3:K3"/>
    <mergeCell ref="H7:I8"/>
    <mergeCell ref="E10:F10"/>
    <mergeCell ref="B11:D11"/>
    <mergeCell ref="B12:D12"/>
    <mergeCell ref="E8:F8"/>
    <mergeCell ref="B9:D9"/>
    <mergeCell ref="E9:F9"/>
    <mergeCell ref="E11:F11"/>
    <mergeCell ref="E12:F12"/>
  </mergeCells>
  <conditionalFormatting sqref="C33">
    <cfRule type="expression" dxfId="11" priority="11">
      <formula>$C$33=$X$19</formula>
    </cfRule>
    <cfRule type="expression" dxfId="10" priority="12">
      <formula>$C$33=$X$20</formula>
    </cfRule>
  </conditionalFormatting>
  <conditionalFormatting sqref="C35">
    <cfRule type="expression" dxfId="9" priority="13">
      <formula>$C$35=$X$23</formula>
    </cfRule>
  </conditionalFormatting>
  <conditionalFormatting sqref="C27 C37">
    <cfRule type="expression" dxfId="8" priority="14">
      <formula>$C$37=$X$52</formula>
    </cfRule>
  </conditionalFormatting>
  <conditionalFormatting sqref="E12:F12">
    <cfRule type="expression" dxfId="7" priority="2">
      <formula>OR(AND(E9=X5,E12&gt;2),AND(OR(E9=X6,E9=X7,E9=X8),E12&gt;4),AND(E9=X9,E12&gt;6))</formula>
    </cfRule>
  </conditionalFormatting>
  <conditionalFormatting sqref="E13:F13">
    <cfRule type="expression" dxfId="6" priority="1">
      <formula>OR(AND(OR(E9=X6,E9=X5),E13&gt;2),AND(OR(E9=X7,E9=X8,E9=X9),E13&gt;4))</formula>
    </cfRule>
  </conditionalFormatting>
  <dataValidations count="11">
    <dataValidation type="whole" allowBlank="1" showInputMessage="1" showErrorMessage="1" errorTitle="Неверное значение" error="Не более двух доводчиков на одну дверь." sqref="E13:F13">
      <formula1>0</formula1>
      <formula2>IF(OR(E9=X6,E9=X5),2,4)</formula2>
    </dataValidation>
    <dataValidation type="whole" allowBlank="1" showInputMessage="1" showErrorMessage="1" sqref="E10:F10">
      <formula1>1</formula1>
      <formula2>5</formula2>
    </dataValidation>
    <dataValidation type="whole" allowBlank="1" showInputMessage="1" showErrorMessage="1" sqref="E11:F11">
      <formula1>1</formula1>
      <formula2>4</formula2>
    </dataValidation>
    <dataValidation type="list" operator="greaterThan" allowBlank="1" showInputMessage="1" showErrorMessage="1" sqref="E14">
      <formula1>X27:X31</formula1>
    </dataValidation>
    <dataValidation type="list" allowBlank="1" showInputMessage="1" showErrorMessage="1" sqref="E9:F9">
      <formula1>$X$5:$X$9</formula1>
    </dataValidation>
    <dataValidation type="list" allowBlank="1" showInputMessage="1" showErrorMessage="1" sqref="E16 E19 E15:F15">
      <formula1>$X$38:$X$39</formula1>
    </dataValidation>
    <dataValidation type="list" allowBlank="1" showInputMessage="1" showErrorMessage="1" sqref="E17">
      <formula1>$X$43:$X$45</formula1>
    </dataValidation>
    <dataValidation type="list" allowBlank="1" showInputMessage="1" showErrorMessage="1" sqref="E18">
      <formula1>$X$48:$X$49</formula1>
    </dataValidation>
    <dataValidation type="list" allowBlank="1" showInputMessage="1" showErrorMessage="1" sqref="C27">
      <formula1>$X$13:$X$15</formula1>
    </dataValidation>
    <dataValidation type="list" allowBlank="1" showInputMessage="1" showErrorMessage="1" sqref="C28:C31">
      <formula1>$X$35:$X$36</formula1>
    </dataValidation>
    <dataValidation type="whole" allowBlank="1" showInputMessage="1" showErrorMessage="1" errorTitle="Неверное значение" error="Не более двух доводчиков на одну дверь." sqref="E12:F12">
      <formula1>0</formula1>
      <formula2>IF(E9=X5,2,IF(OR(E9=X6,E9=X7,E9=X8),4,6))</formula2>
    </dataValidation>
  </dataValidations>
  <hyperlinks>
    <hyperlink ref="K38" location="Оглавление!A1" display="оглавление"/>
  </hyperlinks>
  <printOptions horizontalCentered="1"/>
  <pageMargins left="0.39370078740157483" right="0.39370078740157483" top="0.39370078740157483" bottom="0.39370078740157483" header="0" footer="0"/>
  <pageSetup paperSize="9" scale="7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12BAEFB1-C06B-46F0-B775-6CCC8CDFBCBB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B1:Y53"/>
  <sheetViews>
    <sheetView zoomScale="70" zoomScaleNormal="70" workbookViewId="0">
      <selection activeCell="E7" sqref="E7:F7"/>
    </sheetView>
  </sheetViews>
  <sheetFormatPr defaultColWidth="9.140625" defaultRowHeight="18.75" x14ac:dyDescent="0.3"/>
  <cols>
    <col min="1" max="1" width="2.42578125" style="34" customWidth="1"/>
    <col min="2" max="3" width="43.7109375" style="34" customWidth="1"/>
    <col min="4" max="4" width="14.7109375" style="34" customWidth="1"/>
    <col min="5" max="6" width="14.7109375" style="33" customWidth="1"/>
    <col min="7" max="7" width="2.42578125" style="34" customWidth="1"/>
    <col min="8" max="8" width="78.7109375" style="34" customWidth="1"/>
    <col min="9" max="9" width="18.7109375" style="34" customWidth="1"/>
    <col min="10" max="10" width="16.7109375" style="34" customWidth="1"/>
    <col min="11" max="11" width="13.42578125" style="34" customWidth="1"/>
    <col min="12" max="12" width="13.42578125" style="34" hidden="1" customWidth="1"/>
    <col min="13" max="13" width="9.5703125" style="34" hidden="1" customWidth="1"/>
    <col min="14" max="23" width="9.140625" style="34"/>
    <col min="24" max="24" width="27.85546875" style="34" hidden="1" customWidth="1"/>
    <col min="25" max="25" width="0" style="34" hidden="1" customWidth="1"/>
    <col min="26" max="16384" width="9.140625" style="34"/>
  </cols>
  <sheetData>
    <row r="1" spans="2:25" x14ac:dyDescent="0.3">
      <c r="B1" s="32"/>
      <c r="C1" s="32"/>
      <c r="D1" s="32"/>
    </row>
    <row r="2" spans="2:25" s="35" customFormat="1" ht="27.6" customHeight="1" x14ac:dyDescent="0.25">
      <c r="B2" s="141" t="str">
        <f>'Видимый верхний трек'!B2:K2</f>
        <v>РАСЧЁТ ДВЕРЕЙ ARISTO SlimLine</v>
      </c>
      <c r="C2" s="141"/>
      <c r="D2" s="141"/>
      <c r="E2" s="141"/>
      <c r="F2" s="141"/>
      <c r="G2" s="142"/>
      <c r="H2" s="142"/>
      <c r="I2" s="142"/>
      <c r="J2" s="142"/>
      <c r="K2" s="142"/>
      <c r="X2" s="36" t="s">
        <v>51</v>
      </c>
      <c r="Y2" s="35" t="s">
        <v>52</v>
      </c>
    </row>
    <row r="3" spans="2:25" s="36" customFormat="1" ht="26.1" customHeight="1" x14ac:dyDescent="0.25">
      <c r="B3" s="141" t="s">
        <v>18</v>
      </c>
      <c r="C3" s="141"/>
      <c r="D3" s="141"/>
      <c r="E3" s="141"/>
      <c r="F3" s="141"/>
      <c r="G3" s="142"/>
      <c r="H3" s="142"/>
      <c r="I3" s="142"/>
      <c r="J3" s="142"/>
      <c r="K3" s="142"/>
      <c r="X3" s="36" t="s">
        <v>115</v>
      </c>
      <c r="Y3" s="35" t="s">
        <v>116</v>
      </c>
    </row>
    <row r="4" spans="2:25" s="36" customFormat="1" ht="20.100000000000001" customHeight="1" x14ac:dyDescent="0.3">
      <c r="B4" s="37"/>
      <c r="C4" s="37"/>
      <c r="D4" s="37"/>
      <c r="E4" s="37"/>
      <c r="F4" s="37"/>
      <c r="H4" s="38"/>
      <c r="I4" s="38"/>
      <c r="J4" s="38"/>
      <c r="K4" s="38"/>
    </row>
    <row r="5" spans="2:25" s="36" customFormat="1" ht="20.100000000000001" customHeight="1" x14ac:dyDescent="0.25">
      <c r="B5" s="143" t="s">
        <v>11</v>
      </c>
      <c r="C5" s="143"/>
      <c r="D5" s="143"/>
      <c r="E5" s="143"/>
      <c r="F5" s="143"/>
      <c r="H5" s="143" t="s">
        <v>10</v>
      </c>
      <c r="I5" s="143"/>
      <c r="J5" s="143"/>
      <c r="K5" s="143"/>
      <c r="X5" s="39" t="s">
        <v>26</v>
      </c>
    </row>
    <row r="6" spans="2:25" s="36" customFormat="1" ht="20.100000000000001" customHeight="1" thickBot="1" x14ac:dyDescent="0.3">
      <c r="B6" s="40"/>
      <c r="C6" s="40"/>
      <c r="D6" s="40"/>
      <c r="E6" s="40"/>
      <c r="F6" s="40"/>
      <c r="H6" s="40"/>
      <c r="I6" s="40"/>
      <c r="J6" s="40"/>
      <c r="K6" s="40"/>
      <c r="X6" s="39" t="s">
        <v>27</v>
      </c>
    </row>
    <row r="7" spans="2:25" s="35" customFormat="1" ht="20.100000000000001" customHeight="1" x14ac:dyDescent="0.25">
      <c r="B7" s="189" t="s">
        <v>0</v>
      </c>
      <c r="C7" s="190"/>
      <c r="D7" s="191"/>
      <c r="E7" s="192">
        <v>2000</v>
      </c>
      <c r="F7" s="193"/>
      <c r="H7" s="144" t="str">
        <f>'Видимый верхний трек'!H7:H8</f>
        <v>Размеры двери:</v>
      </c>
      <c r="I7" s="145"/>
      <c r="J7" s="41" t="s">
        <v>5</v>
      </c>
      <c r="K7" s="1">
        <f>IF(E15=X39,E7-34,E7-28)</f>
        <v>1966</v>
      </c>
      <c r="X7" s="39" t="s">
        <v>28</v>
      </c>
    </row>
    <row r="8" spans="2:25" s="35" customFormat="1" ht="20.100000000000001" customHeight="1" thickBot="1" x14ac:dyDescent="0.3">
      <c r="B8" s="184" t="s">
        <v>15</v>
      </c>
      <c r="C8" s="185"/>
      <c r="D8" s="186"/>
      <c r="E8" s="187">
        <v>2000</v>
      </c>
      <c r="F8" s="188"/>
      <c r="H8" s="146"/>
      <c r="I8" s="147"/>
      <c r="J8" s="42" t="s">
        <v>6</v>
      </c>
      <c r="K8" s="2">
        <f>ROUNDUP(IF(AND(E18=X49,E9=X8),(E8-20+E11*10)/E10,
IF(AND(E18=X49,E9&lt;&gt;X8),(E8-10+E11*10)/E10,(E8+E11*10)/E10)),0)</f>
        <v>1000</v>
      </c>
      <c r="X8" s="39" t="s">
        <v>29</v>
      </c>
    </row>
    <row r="9" spans="2:25" s="35" customFormat="1" ht="20.100000000000001" customHeight="1" thickBot="1" x14ac:dyDescent="0.3">
      <c r="B9" s="181" t="s">
        <v>32</v>
      </c>
      <c r="C9" s="182"/>
      <c r="D9" s="183"/>
      <c r="E9" s="154" t="s">
        <v>26</v>
      </c>
      <c r="F9" s="155"/>
      <c r="H9" s="43"/>
      <c r="I9" s="43"/>
      <c r="J9" s="44"/>
      <c r="K9" s="3"/>
      <c r="X9" s="39" t="s">
        <v>30</v>
      </c>
    </row>
    <row r="10" spans="2:25" s="35" customFormat="1" ht="20.100000000000001" customHeight="1" x14ac:dyDescent="0.25">
      <c r="B10" s="184" t="s">
        <v>1</v>
      </c>
      <c r="C10" s="185"/>
      <c r="D10" s="186"/>
      <c r="E10" s="156">
        <f>IF(E9=X5,2,IF(E9=X6,3,IF(E9=X7,4,IF(E9=X8,4,IF(E9=X9,5)))))</f>
        <v>2</v>
      </c>
      <c r="F10" s="157"/>
      <c r="H10" s="45" t="s">
        <v>2</v>
      </c>
      <c r="I10" s="46" t="s">
        <v>31</v>
      </c>
      <c r="J10" s="41" t="s">
        <v>3</v>
      </c>
      <c r="K10" s="47" t="s">
        <v>4</v>
      </c>
    </row>
    <row r="11" spans="2:25" s="35" customFormat="1" ht="20.100000000000001" customHeight="1" x14ac:dyDescent="0.3">
      <c r="B11" s="184" t="s">
        <v>42</v>
      </c>
      <c r="C11" s="185"/>
      <c r="D11" s="186"/>
      <c r="E11" s="156">
        <f>IF(E9=X5,1,IF(E9=X6,2,IF(E9=X7,3,IF(E9=X8,2,IF(E9=X9,4)))))</f>
        <v>1</v>
      </c>
      <c r="F11" s="157"/>
      <c r="H11" s="48" t="str">
        <f>'Видимый верхний трек'!H11</f>
        <v xml:space="preserve">Направляющая верхняя </v>
      </c>
      <c r="I11" s="49" t="s">
        <v>50</v>
      </c>
      <c r="J11" s="4">
        <f>E8-2</f>
        <v>1998</v>
      </c>
      <c r="K11" s="5">
        <v>1</v>
      </c>
      <c r="L11" s="34"/>
    </row>
    <row r="12" spans="2:25" s="35" customFormat="1" ht="20.100000000000001" customHeight="1" x14ac:dyDescent="0.3">
      <c r="B12" s="184" t="s">
        <v>106</v>
      </c>
      <c r="C12" s="185"/>
      <c r="D12" s="186"/>
      <c r="E12" s="158">
        <v>0</v>
      </c>
      <c r="F12" s="159"/>
      <c r="H12" s="48" t="str">
        <f>IF(E15=X39,X2,X3)</f>
        <v xml:space="preserve">Направляющая нижняя </v>
      </c>
      <c r="I12" s="49" t="str">
        <f>IF(E15=X39,Y2,Y3)</f>
        <v>CKRU0504</v>
      </c>
      <c r="J12" s="4">
        <f>E8-2</f>
        <v>1998</v>
      </c>
      <c r="K12" s="5">
        <f>IF(E15=X39,1,2)</f>
        <v>1</v>
      </c>
      <c r="L12" s="34"/>
    </row>
    <row r="13" spans="2:25" s="35" customFormat="1" ht="20.100000000000001" customHeight="1" x14ac:dyDescent="0.3">
      <c r="B13" s="184" t="s">
        <v>107</v>
      </c>
      <c r="C13" s="185"/>
      <c r="D13" s="186"/>
      <c r="E13" s="158">
        <v>0</v>
      </c>
      <c r="F13" s="159"/>
      <c r="H13" s="50" t="str">
        <f>'Видимый верхний трек'!H13</f>
        <v>Вертикальный профиль</v>
      </c>
      <c r="I13" s="51" t="s">
        <v>48</v>
      </c>
      <c r="J13" s="6">
        <f>K7</f>
        <v>1966</v>
      </c>
      <c r="K13" s="7">
        <f>E10*2</f>
        <v>4</v>
      </c>
      <c r="L13" s="34">
        <v>0.29799999999999999</v>
      </c>
      <c r="M13" s="35">
        <f t="shared" ref="M12:M15" si="0">L13*J13*K13/1000</f>
        <v>2.3434719999999998</v>
      </c>
      <c r="X13" s="26" t="s">
        <v>43</v>
      </c>
    </row>
    <row r="14" spans="2:25" s="35" customFormat="1" ht="20.100000000000001" customHeight="1" x14ac:dyDescent="0.3">
      <c r="B14" s="172" t="s">
        <v>22</v>
      </c>
      <c r="C14" s="173"/>
      <c r="D14" s="174"/>
      <c r="E14" s="177">
        <v>0</v>
      </c>
      <c r="F14" s="178"/>
      <c r="H14" s="50" t="str">
        <f>'Скрытый верхний трек, корпус'!H14</f>
        <v>Рамка горизонтальная широкая (верх+низ двери)</v>
      </c>
      <c r="I14" s="52" t="s">
        <v>55</v>
      </c>
      <c r="J14" s="6">
        <f>K8-2*9.7</f>
        <v>980.6</v>
      </c>
      <c r="K14" s="7">
        <f>E10*2</f>
        <v>4</v>
      </c>
      <c r="L14" s="34">
        <v>0.56000000000000005</v>
      </c>
      <c r="M14" s="35">
        <f t="shared" si="0"/>
        <v>2.1965440000000003</v>
      </c>
      <c r="X14" s="26" t="s">
        <v>44</v>
      </c>
    </row>
    <row r="15" spans="2:25" s="35" customFormat="1" ht="20.100000000000001" customHeight="1" thickBot="1" x14ac:dyDescent="0.35">
      <c r="B15" s="118" t="s">
        <v>117</v>
      </c>
      <c r="C15" s="119"/>
      <c r="D15" s="119"/>
      <c r="E15" s="106" t="s">
        <v>69</v>
      </c>
      <c r="F15" s="107"/>
      <c r="H15" s="53" t="str">
        <f>'Видимый верхний трек'!H16</f>
        <v xml:space="preserve">Рамка горизонтальная средняя </v>
      </c>
      <c r="I15" s="54" t="s">
        <v>58</v>
      </c>
      <c r="J15" s="8">
        <f>J14</f>
        <v>980.6</v>
      </c>
      <c r="K15" s="9">
        <f>E14*E10</f>
        <v>0</v>
      </c>
      <c r="L15" s="34">
        <v>0.312</v>
      </c>
      <c r="M15" s="35">
        <f t="shared" si="0"/>
        <v>0</v>
      </c>
      <c r="X15" s="26" t="s">
        <v>45</v>
      </c>
    </row>
    <row r="16" spans="2:25" s="35" customFormat="1" ht="20.100000000000001" customHeight="1" thickBot="1" x14ac:dyDescent="0.35">
      <c r="B16" s="169" t="s">
        <v>9</v>
      </c>
      <c r="C16" s="170"/>
      <c r="D16" s="171"/>
      <c r="E16" s="175" t="s">
        <v>69</v>
      </c>
      <c r="F16" s="176"/>
      <c r="H16" s="55"/>
      <c r="I16" s="56"/>
      <c r="J16" s="57"/>
      <c r="K16" s="3"/>
      <c r="M16" s="58">
        <f>SUM(M13:M15)/E10</f>
        <v>2.2700079999999998</v>
      </c>
    </row>
    <row r="17" spans="2:24" s="35" customFormat="1" ht="20.100000000000001" customHeight="1" x14ac:dyDescent="0.25">
      <c r="B17" s="169" t="s">
        <v>111</v>
      </c>
      <c r="C17" s="170"/>
      <c r="D17" s="171"/>
      <c r="E17" s="175" t="s">
        <v>71</v>
      </c>
      <c r="F17" s="176"/>
      <c r="H17" s="59" t="s">
        <v>8</v>
      </c>
      <c r="I17" s="46" t="s">
        <v>31</v>
      </c>
      <c r="J17" s="124" t="s">
        <v>4</v>
      </c>
      <c r="K17" s="125"/>
    </row>
    <row r="18" spans="2:24" s="35" customFormat="1" ht="20.100000000000001" customHeight="1" x14ac:dyDescent="0.25">
      <c r="B18" s="166" t="s">
        <v>72</v>
      </c>
      <c r="C18" s="167"/>
      <c r="D18" s="168"/>
      <c r="E18" s="179" t="s">
        <v>74</v>
      </c>
      <c r="F18" s="180"/>
      <c r="H18" s="50" t="str">
        <f>'Видимый верхний трек'!H19</f>
        <v xml:space="preserve">Комплект колес </v>
      </c>
      <c r="I18" s="60" t="s">
        <v>60</v>
      </c>
      <c r="J18" s="126">
        <f>E10</f>
        <v>2</v>
      </c>
      <c r="K18" s="127"/>
      <c r="M18" s="35">
        <f>IF(C27=$X$13,((D27*E27*F27/$E$10)/1000000)*8,IF(C27=$X$14,((D27*E27*F27/$E$10)/1000000)*6.5,((D27*E27*F27/$E$10)/1000000)*11))</f>
        <v>21.409079999999999</v>
      </c>
    </row>
    <row r="19" spans="2:24" s="35" customFormat="1" ht="20.100000000000001" customHeight="1" thickBot="1" x14ac:dyDescent="0.3">
      <c r="B19" s="162" t="s">
        <v>81</v>
      </c>
      <c r="C19" s="163"/>
      <c r="D19" s="164"/>
      <c r="E19" s="160" t="s">
        <v>69</v>
      </c>
      <c r="F19" s="161"/>
      <c r="H19" s="50" t="s">
        <v>100</v>
      </c>
      <c r="I19" s="61" t="s">
        <v>97</v>
      </c>
      <c r="J19" s="126">
        <f>ROUNDUP(IF(E9=X5,2+E12,IF(OR(E9=X6,E9=X7,E9=X8),4+E12,6+E12))/2,0)</f>
        <v>1</v>
      </c>
      <c r="K19" s="127"/>
      <c r="M19" s="35">
        <f>IF(C28=$X$13,((D28*E28*F28/$E$10)/1000000)*8,IF(C28=$X$14,((D28*E28*F28/$E$10)/1000000)*6.5,((D28*E28*F28/$E$10)/1000000)*11))</f>
        <v>0</v>
      </c>
      <c r="X19" s="35" t="s">
        <v>61</v>
      </c>
    </row>
    <row r="20" spans="2:24" s="35" customFormat="1" ht="20.100000000000001" customHeight="1" x14ac:dyDescent="0.25">
      <c r="H20" s="50" t="s">
        <v>99</v>
      </c>
      <c r="I20" s="61" t="s">
        <v>98</v>
      </c>
      <c r="J20" s="126">
        <f>ROUNDUP(IF(OR(E9=X5,E9=X6),2+E13,4+E13)/2,0)</f>
        <v>1</v>
      </c>
      <c r="K20" s="127"/>
      <c r="M20" s="35">
        <f>IF(C29=$X$13,((D29*E29*F29/$E$10)/1000000)*8,IF(C29=$X$14,((D29*E29*F29/$E$10)/1000000)*6.5,((D29*E29*F29/$E$10)/1000000)*11))</f>
        <v>0</v>
      </c>
      <c r="X20" s="35" t="s">
        <v>62</v>
      </c>
    </row>
    <row r="21" spans="2:24" s="35" customFormat="1" ht="20.100000000000001" customHeight="1" x14ac:dyDescent="0.25">
      <c r="B21" s="35" t="s">
        <v>13</v>
      </c>
      <c r="H21" s="50" t="s">
        <v>66</v>
      </c>
      <c r="I21" s="31" t="s">
        <v>64</v>
      </c>
      <c r="J21" s="128">
        <f>ROUNDUP(IF(AND(C37&lt;&gt;X52,C27=X14),(D27+E27)*2*F27,0)/1000,0)</f>
        <v>0</v>
      </c>
      <c r="K21" s="129"/>
      <c r="M21" s="35">
        <f>IF(C30=$X$13,((D30*E30*F30/$E$10)/1000000)*8,IF(C30=$X$14,((D30*E30*F30/$E$10)/1000000)*6.5,((D30*E30*F30/$E$10)/1000000)*11))</f>
        <v>0</v>
      </c>
    </row>
    <row r="22" spans="2:24" s="35" customFormat="1" ht="20.100000000000001" customHeight="1" thickBot="1" x14ac:dyDescent="0.3">
      <c r="H22" s="50" t="s">
        <v>67</v>
      </c>
      <c r="I22" s="31" t="s">
        <v>65</v>
      </c>
      <c r="J22" s="128">
        <f>ROUNDUP((IF(AND(E14&lt;&gt;0,C27=X15),(D27+E27+D27)*F27,IF(AND(E14=0,C27=X15),(D27+E27)*2*F27,0))
+IF(C28=X15,D28*2*F28,0)
+IF(C29=X15,D29*2*F29,0)
+IF(C30=X15,D30*2*F30,0)
+IF(C31=X15,(D31+E31+D31)*F31,0))/1000,0)</f>
        <v>12</v>
      </c>
      <c r="K22" s="129"/>
      <c r="M22" s="35">
        <f>IF(C31=$X$13,((D31*E31*F31/$E$10)/1000000)*8,IF(C31=$X$14,((D31*E31*F31/$E$10)/1000000)*6.5,((D31*E31*F31/$E$10)/1000000)*11))</f>
        <v>0</v>
      </c>
    </row>
    <row r="23" spans="2:24" s="35" customFormat="1" ht="20.100000000000001" customHeight="1" thickBot="1" x14ac:dyDescent="0.35">
      <c r="D23" s="62"/>
      <c r="E23" s="62"/>
      <c r="F23" s="62"/>
      <c r="H23" s="50" t="s">
        <v>80</v>
      </c>
      <c r="I23" s="31" t="s">
        <v>114</v>
      </c>
      <c r="J23" s="128">
        <f>ROUNDUP((IF(AND(E14&lt;&gt;0,C27=X15),E27*F27,0)
+IF(C28=X15,E28*2*F28,0)
+IF(C29=X15,E29*2*F29,0)
+IF(C30=X15,E30*2*F30,0)
+IF(C31=X15,E31*F31,0))/1000,0)</f>
        <v>0</v>
      </c>
      <c r="K23" s="129"/>
      <c r="M23" s="58">
        <f>SUM(M18:M22)</f>
        <v>21.409079999999999</v>
      </c>
      <c r="X23" s="34" t="s">
        <v>63</v>
      </c>
    </row>
    <row r="24" spans="2:24" s="35" customFormat="1" ht="20.100000000000001" customHeight="1" thickBot="1" x14ac:dyDescent="0.35">
      <c r="B24" s="63" t="s">
        <v>92</v>
      </c>
      <c r="C24" s="64">
        <f>E14+1</f>
        <v>1</v>
      </c>
      <c r="H24" s="50" t="s">
        <v>95</v>
      </c>
      <c r="I24" s="60" t="s">
        <v>75</v>
      </c>
      <c r="J24" s="126">
        <f>IF(M25&lt;30,ROUNDUP(SUM(E12:F13)/2,0),0)</f>
        <v>0</v>
      </c>
      <c r="K24" s="127"/>
      <c r="X24" s="34" t="s">
        <v>14</v>
      </c>
    </row>
    <row r="25" spans="2:24" s="35" customFormat="1" ht="20.100000000000001" customHeight="1" thickBot="1" x14ac:dyDescent="0.3">
      <c r="H25" s="50" t="s">
        <v>95</v>
      </c>
      <c r="I25" s="60" t="s">
        <v>76</v>
      </c>
      <c r="J25" s="126">
        <f>IF(AND(M25&gt;=30,M25&lt;50),ROUNDUP(SUM(E12:F13)/2,0),0)</f>
        <v>0</v>
      </c>
      <c r="K25" s="127"/>
      <c r="L25" s="69" t="s">
        <v>94</v>
      </c>
      <c r="M25" s="70">
        <f>(M23+M16)*1.05</f>
        <v>24.863042400000001</v>
      </c>
    </row>
    <row r="26" spans="2:24" s="35" customFormat="1" ht="20.100000000000001" customHeight="1" x14ac:dyDescent="0.25">
      <c r="B26" s="65" t="s">
        <v>33</v>
      </c>
      <c r="C26" s="66" t="s">
        <v>34</v>
      </c>
      <c r="D26" s="66" t="s">
        <v>35</v>
      </c>
      <c r="E26" s="67" t="s">
        <v>36</v>
      </c>
      <c r="F26" s="68" t="s">
        <v>93</v>
      </c>
      <c r="G26" s="73">
        <f>IF(D27&lt;&gt;0,1,0)</f>
        <v>1</v>
      </c>
      <c r="H26" s="50" t="s">
        <v>95</v>
      </c>
      <c r="I26" s="60" t="s">
        <v>77</v>
      </c>
      <c r="J26" s="126">
        <f>IF(AND(M25&gt;=50,M25&lt;70),ROUNDUP(SUM(E12:F13)/2,0),0)</f>
        <v>0</v>
      </c>
      <c r="K26" s="127"/>
    </row>
    <row r="27" spans="2:24" s="35" customFormat="1" ht="20.100000000000001" customHeight="1" x14ac:dyDescent="0.25">
      <c r="B27" s="50" t="s">
        <v>37</v>
      </c>
      <c r="C27" s="21" t="s">
        <v>45</v>
      </c>
      <c r="D27" s="22">
        <f>ROUNDDOWN(K7-IF(D31=0,0,IF(C31=X13,D31,IF(C31=X14,D31+2,D31+3)))-IF(D30=0,0,IF(C30=X13,D30,IF(C30=X14,D30+2,D30+3)))-IF(D29=0,0,IF(C29=X13,D29,IF(C29=X14,D29+2,D29+3)))-IF(D28=0,0,IF(C28=X13,D28,IF(C28=X14,D28+2,D28+3)))-3-IF(C27=X14,2,IF(C27=X15,3,0))-E14*1.3,0)</f>
        <v>1960</v>
      </c>
      <c r="E27" s="71">
        <f>IF(C27=X13,K8-4,IF(C27=X14,K8-4-2,K8-4-3))</f>
        <v>993</v>
      </c>
      <c r="F27" s="72">
        <f>$E$10</f>
        <v>2</v>
      </c>
      <c r="G27" s="73">
        <f>IF(D28&lt;&gt;0,1,0)</f>
        <v>0</v>
      </c>
      <c r="H27" s="50" t="s">
        <v>112</v>
      </c>
      <c r="I27" s="60" t="s">
        <v>83</v>
      </c>
      <c r="J27" s="130">
        <f>IF(E17=X44,E10*2-SUM(E12:F13),0)</f>
        <v>0</v>
      </c>
      <c r="K27" s="131"/>
      <c r="X27" s="27">
        <v>0</v>
      </c>
    </row>
    <row r="28" spans="2:24" s="35" customFormat="1" ht="20.100000000000001" customHeight="1" x14ac:dyDescent="0.25">
      <c r="B28" s="50" t="s">
        <v>38</v>
      </c>
      <c r="C28" s="21" t="s">
        <v>45</v>
      </c>
      <c r="D28" s="23">
        <v>0</v>
      </c>
      <c r="E28" s="71">
        <f>IF(C28=$X$35,$K$8-4,$K$8-4-3)</f>
        <v>993</v>
      </c>
      <c r="F28" s="72">
        <f>IF(D28&lt;&gt;0,$E$10,0)</f>
        <v>0</v>
      </c>
      <c r="G28" s="73">
        <f>IF(D29&lt;&gt;0,1,0)</f>
        <v>0</v>
      </c>
      <c r="H28" s="50" t="s">
        <v>113</v>
      </c>
      <c r="I28" s="60" t="s">
        <v>84</v>
      </c>
      <c r="J28" s="130">
        <f>IF(E17=X45,E10*2-SUM(E12:F13),0)</f>
        <v>4</v>
      </c>
      <c r="K28" s="131"/>
      <c r="X28" s="27">
        <v>1</v>
      </c>
    </row>
    <row r="29" spans="2:24" s="35" customFormat="1" ht="20.100000000000001" customHeight="1" x14ac:dyDescent="0.3">
      <c r="B29" s="50" t="s">
        <v>39</v>
      </c>
      <c r="C29" s="21" t="s">
        <v>45</v>
      </c>
      <c r="D29" s="23">
        <v>0</v>
      </c>
      <c r="E29" s="71">
        <f t="shared" ref="E29:E31" si="1">IF(C29=$X$35,$K$8-4,$K$8-4-3)</f>
        <v>993</v>
      </c>
      <c r="F29" s="72">
        <f t="shared" ref="F29:F31" si="2">IF(D29&lt;&gt;0,$E$10,0)</f>
        <v>0</v>
      </c>
      <c r="G29" s="73">
        <f>IF(D30&lt;&gt;0,1,0)</f>
        <v>0</v>
      </c>
      <c r="H29" s="74" t="s">
        <v>73</v>
      </c>
      <c r="I29" s="75" t="s">
        <v>85</v>
      </c>
      <c r="J29" s="132">
        <f>IF(E18=X48,K14*2+K15*2,0)</f>
        <v>0</v>
      </c>
      <c r="K29" s="133"/>
      <c r="X29" s="27">
        <v>2</v>
      </c>
    </row>
    <row r="30" spans="2:24" s="35" customFormat="1" ht="20.100000000000001" customHeight="1" x14ac:dyDescent="0.25">
      <c r="B30" s="50" t="s">
        <v>40</v>
      </c>
      <c r="C30" s="21" t="s">
        <v>45</v>
      </c>
      <c r="D30" s="23">
        <v>0</v>
      </c>
      <c r="E30" s="71">
        <f t="shared" si="1"/>
        <v>993</v>
      </c>
      <c r="F30" s="72">
        <f t="shared" si="2"/>
        <v>0</v>
      </c>
      <c r="G30" s="73">
        <f>IF(D31&lt;&gt;0,1,0)</f>
        <v>0</v>
      </c>
      <c r="H30" s="79" t="s">
        <v>90</v>
      </c>
      <c r="I30" s="28" t="s">
        <v>86</v>
      </c>
      <c r="J30" s="136">
        <f>IF(E18=X49,ROUNDUP(J13*K13/1000,0),0)</f>
        <v>8</v>
      </c>
      <c r="K30" s="137"/>
      <c r="X30" s="27">
        <v>3</v>
      </c>
    </row>
    <row r="31" spans="2:24" s="35" customFormat="1" ht="20.100000000000001" customHeight="1" thickBot="1" x14ac:dyDescent="0.3">
      <c r="B31" s="76" t="s">
        <v>41</v>
      </c>
      <c r="C31" s="24" t="s">
        <v>43</v>
      </c>
      <c r="D31" s="25">
        <v>0</v>
      </c>
      <c r="E31" s="77">
        <f t="shared" si="1"/>
        <v>996</v>
      </c>
      <c r="F31" s="78">
        <f t="shared" si="2"/>
        <v>0</v>
      </c>
      <c r="H31" s="50" t="s">
        <v>78</v>
      </c>
      <c r="I31" s="60" t="s">
        <v>79</v>
      </c>
      <c r="J31" s="134">
        <f>IF(J30&gt;0,K13*2,0)</f>
        <v>8</v>
      </c>
      <c r="K31" s="138"/>
      <c r="X31" s="27">
        <v>4</v>
      </c>
    </row>
    <row r="32" spans="2:24" s="35" customFormat="1" ht="19.5" customHeight="1" x14ac:dyDescent="0.3">
      <c r="H32" s="50" t="s">
        <v>89</v>
      </c>
      <c r="I32" s="60" t="s">
        <v>87</v>
      </c>
      <c r="J32" s="136">
        <f>ROUNDUP(K13*J13/1000,0)</f>
        <v>8</v>
      </c>
      <c r="K32" s="140"/>
      <c r="L32" s="34"/>
      <c r="M32" s="34"/>
      <c r="X32" s="34"/>
    </row>
    <row r="33" spans="2:24" s="35" customFormat="1" ht="20.100000000000001" customHeight="1" x14ac:dyDescent="0.3">
      <c r="C33" s="80" t="str">
        <f>IF((SUM(G26:G30)/C24)&lt;&gt;1,X19,X20)</f>
        <v>Верно внесены высоты вставок</v>
      </c>
      <c r="D33" s="33">
        <f>IF(C33=X20,1,0)</f>
        <v>1</v>
      </c>
      <c r="H33" s="50" t="s">
        <v>9</v>
      </c>
      <c r="I33" s="60" t="s">
        <v>88</v>
      </c>
      <c r="J33" s="136">
        <f>IF(E16=X38,ROUNDUP((J12+40)*2/1000,0),0)</f>
        <v>0</v>
      </c>
      <c r="K33" s="140"/>
      <c r="L33" s="34"/>
      <c r="M33" s="34"/>
      <c r="X33" s="34"/>
    </row>
    <row r="34" spans="2:24" s="35" customFormat="1" ht="20.100000000000001" customHeight="1" x14ac:dyDescent="0.3">
      <c r="H34" s="82" t="s">
        <v>46</v>
      </c>
      <c r="I34" s="60" t="s">
        <v>47</v>
      </c>
      <c r="J34" s="134">
        <f>K15*2</f>
        <v>0</v>
      </c>
      <c r="K34" s="135"/>
      <c r="L34" s="34"/>
      <c r="M34" s="34"/>
      <c r="X34" s="34"/>
    </row>
    <row r="35" spans="2:24" s="35" customFormat="1" ht="20.100000000000001" customHeight="1" x14ac:dyDescent="0.3">
      <c r="C35" s="81" t="str">
        <f>IF(AND(SUM(G26:G30)/C24=1,D31=0,C24&lt;&gt;1),X23,X24)</f>
        <v xml:space="preserve"> </v>
      </c>
      <c r="D35" s="81"/>
      <c r="H35" s="50" t="s">
        <v>108</v>
      </c>
      <c r="I35" s="83"/>
      <c r="J35" s="134">
        <f>SUM(J19:K20)*8</f>
        <v>16</v>
      </c>
      <c r="K35" s="135"/>
      <c r="L35" s="34"/>
      <c r="M35" s="34"/>
      <c r="X35" s="26" t="s">
        <v>43</v>
      </c>
    </row>
    <row r="36" spans="2:24" ht="20.100000000000001" customHeight="1" thickBot="1" x14ac:dyDescent="0.35">
      <c r="B36" s="35"/>
      <c r="C36" s="35"/>
      <c r="D36" s="35"/>
      <c r="E36" s="35"/>
      <c r="F36" s="35"/>
      <c r="G36" s="35"/>
      <c r="H36" s="84" t="s">
        <v>81</v>
      </c>
      <c r="I36" s="85" t="s">
        <v>82</v>
      </c>
      <c r="J36" s="122">
        <f>IF(E19=X38,E11,0)</f>
        <v>0</v>
      </c>
      <c r="K36" s="123"/>
      <c r="X36" s="26" t="s">
        <v>45</v>
      </c>
    </row>
    <row r="37" spans="2:24" ht="20.100000000000001" customHeight="1" x14ac:dyDescent="0.3">
      <c r="B37" s="35"/>
      <c r="C37" s="34" t="str">
        <f xml:space="preserve"> IF(AND(C24&lt;&gt;1,C27=X14),X52,X53)</f>
        <v xml:space="preserve"> </v>
      </c>
      <c r="D37" s="81"/>
      <c r="E37" s="35"/>
      <c r="F37" s="35"/>
      <c r="G37" s="35"/>
    </row>
    <row r="38" spans="2:24" ht="19.5" customHeight="1" thickBot="1" x14ac:dyDescent="0.35">
      <c r="B38" s="35"/>
      <c r="C38" s="35"/>
      <c r="D38" s="35"/>
      <c r="G38" s="35"/>
      <c r="H38" s="34" t="s">
        <v>104</v>
      </c>
      <c r="I38" s="88"/>
      <c r="J38" s="89"/>
      <c r="K38" s="105" t="s">
        <v>21</v>
      </c>
      <c r="X38" s="34" t="s">
        <v>68</v>
      </c>
    </row>
    <row r="39" spans="2:24" ht="20.100000000000001" customHeight="1" thickBot="1" x14ac:dyDescent="0.35">
      <c r="B39" s="35"/>
      <c r="D39" s="33"/>
      <c r="E39" s="86" t="s">
        <v>96</v>
      </c>
      <c r="F39" s="87">
        <f>ROUNDUP(M25,0)</f>
        <v>25</v>
      </c>
      <c r="G39" s="35"/>
      <c r="X39" s="35" t="s">
        <v>69</v>
      </c>
    </row>
    <row r="40" spans="2:24" ht="20.100000000000001" customHeight="1" x14ac:dyDescent="0.3">
      <c r="D40" s="33"/>
      <c r="G40" s="35"/>
    </row>
    <row r="41" spans="2:24" ht="19.5" customHeight="1" x14ac:dyDescent="0.3">
      <c r="D41" s="33"/>
      <c r="G41" s="35"/>
      <c r="H41" s="90"/>
      <c r="I41" s="90"/>
      <c r="J41" s="90"/>
      <c r="K41" s="90"/>
    </row>
    <row r="42" spans="2:24" ht="21" customHeight="1" x14ac:dyDescent="0.3">
      <c r="D42" s="33"/>
      <c r="G42" s="35"/>
    </row>
    <row r="43" spans="2:24" ht="20.100000000000001" customHeight="1" x14ac:dyDescent="0.3">
      <c r="D43" s="33"/>
      <c r="H43" s="91"/>
      <c r="I43" s="92"/>
      <c r="X43" s="34" t="s">
        <v>69</v>
      </c>
    </row>
    <row r="44" spans="2:24" ht="21.75" customHeight="1" x14ac:dyDescent="0.3">
      <c r="X44" s="34" t="s">
        <v>70</v>
      </c>
    </row>
    <row r="45" spans="2:24" ht="18" customHeight="1" x14ac:dyDescent="0.3">
      <c r="X45" s="34" t="s">
        <v>71</v>
      </c>
    </row>
    <row r="48" spans="2:24" x14ac:dyDescent="0.3">
      <c r="X48" s="29" t="s">
        <v>73</v>
      </c>
    </row>
    <row r="49" spans="24:24" x14ac:dyDescent="0.3">
      <c r="X49" s="30" t="s">
        <v>74</v>
      </c>
    </row>
    <row r="50" spans="24:24" x14ac:dyDescent="0.3">
      <c r="X50" s="29"/>
    </row>
    <row r="52" spans="24:24" x14ac:dyDescent="0.3">
      <c r="X52" s="34" t="s">
        <v>91</v>
      </c>
    </row>
    <row r="53" spans="24:24" x14ac:dyDescent="0.3">
      <c r="X53" s="34" t="s">
        <v>14</v>
      </c>
    </row>
  </sheetData>
  <sheetProtection algorithmName="SHA-512" hashValue="URjswtssg3fw5NbOrGELuQmErN/D2J9Lz6scxff6zkTJwHVw32fNRAu772hGbSgU46fQDSxa9BIxrrRS9PnY8g==" saltValue="c6rrV53T01/hvNj4bOKDrw==" spinCount="100000" sheet="1" selectLockedCells="1"/>
  <mergeCells count="51">
    <mergeCell ref="J24:K24"/>
    <mergeCell ref="J25:K25"/>
    <mergeCell ref="J36:K36"/>
    <mergeCell ref="J26:K26"/>
    <mergeCell ref="J27:K27"/>
    <mergeCell ref="J30:K30"/>
    <mergeCell ref="J29:K29"/>
    <mergeCell ref="J28:K28"/>
    <mergeCell ref="J31:K31"/>
    <mergeCell ref="J32:K32"/>
    <mergeCell ref="J33:K33"/>
    <mergeCell ref="J34:K34"/>
    <mergeCell ref="J35:K35"/>
    <mergeCell ref="J19:K19"/>
    <mergeCell ref="J20:K20"/>
    <mergeCell ref="J21:K21"/>
    <mergeCell ref="J22:K22"/>
    <mergeCell ref="J23:K23"/>
    <mergeCell ref="B18:D18"/>
    <mergeCell ref="E18:F18"/>
    <mergeCell ref="B19:D19"/>
    <mergeCell ref="E19:F19"/>
    <mergeCell ref="J17:K17"/>
    <mergeCell ref="J18:K18"/>
    <mergeCell ref="B2:K2"/>
    <mergeCell ref="B5:F5"/>
    <mergeCell ref="H5:K5"/>
    <mergeCell ref="E7:F7"/>
    <mergeCell ref="B3:K3"/>
    <mergeCell ref="E8:F8"/>
    <mergeCell ref="B7:D7"/>
    <mergeCell ref="B8:D8"/>
    <mergeCell ref="H7:I8"/>
    <mergeCell ref="E10:F10"/>
    <mergeCell ref="E13:F13"/>
    <mergeCell ref="E11:F11"/>
    <mergeCell ref="E12:F12"/>
    <mergeCell ref="B9:D9"/>
    <mergeCell ref="E9:F9"/>
    <mergeCell ref="B10:D10"/>
    <mergeCell ref="B11:D11"/>
    <mergeCell ref="B12:D12"/>
    <mergeCell ref="B13:D13"/>
    <mergeCell ref="B14:D14"/>
    <mergeCell ref="E14:F14"/>
    <mergeCell ref="B16:D16"/>
    <mergeCell ref="E16:F16"/>
    <mergeCell ref="B17:D17"/>
    <mergeCell ref="E17:F17"/>
    <mergeCell ref="B15:D15"/>
    <mergeCell ref="E15:F15"/>
  </mergeCells>
  <conditionalFormatting sqref="E12:F12">
    <cfRule type="expression" dxfId="5" priority="7">
      <formula>OR(AND(E9=X5,E12&gt;2),AND(OR(E9=X6,E9=X7,E9=X8),E12&gt;4),AND(E9=X9,E12&gt;6))</formula>
    </cfRule>
  </conditionalFormatting>
  <conditionalFormatting sqref="E13:F13">
    <cfRule type="expression" dxfId="4" priority="6">
      <formula>OR(AND(OR(E9=X6,E9=X5),E13&gt;2),AND(OR(E9=X7,E9=X8,E9=X9),E13&gt;4))</formula>
    </cfRule>
  </conditionalFormatting>
  <conditionalFormatting sqref="C33">
    <cfRule type="expression" dxfId="3" priority="2">
      <formula>$C$33=$X$19</formula>
    </cfRule>
    <cfRule type="expression" dxfId="2" priority="3">
      <formula>$C$33=$X$20</formula>
    </cfRule>
  </conditionalFormatting>
  <conditionalFormatting sqref="C35">
    <cfRule type="expression" dxfId="1" priority="4">
      <formula>$C$35=$X$23</formula>
    </cfRule>
  </conditionalFormatting>
  <conditionalFormatting sqref="C27 C37">
    <cfRule type="expression" dxfId="0" priority="5">
      <formula>$C$37=$X$52</formula>
    </cfRule>
  </conditionalFormatting>
  <dataValidations count="11">
    <dataValidation type="whole" allowBlank="1" showInputMessage="1" showErrorMessage="1" sqref="E10:F10">
      <formula1>1</formula1>
      <formula2>5</formula2>
    </dataValidation>
    <dataValidation type="whole" allowBlank="1" showInputMessage="1" showErrorMessage="1" sqref="E11:F11">
      <formula1>1</formula1>
      <formula2>4</formula2>
    </dataValidation>
    <dataValidation type="list" allowBlank="1" showInputMessage="1" showErrorMessage="1" sqref="E9:F9">
      <formula1>$X$5:$X$9</formula1>
    </dataValidation>
    <dataValidation type="whole" allowBlank="1" showInputMessage="1" showErrorMessage="1" errorTitle="Неверное значение" error="Не более двух доводчиков на одну дверь." sqref="E12:F12">
      <formula1>0</formula1>
      <formula2>IF(E9=X5,2,IF(OR(E9=X6,E9=X7,E9=X8),4,6))</formula2>
    </dataValidation>
    <dataValidation type="list" allowBlank="1" showInputMessage="1" showErrorMessage="1" sqref="E18">
      <formula1>$X$48:$X$49</formula1>
    </dataValidation>
    <dataValidation type="list" allowBlank="1" showInputMessage="1" showErrorMessage="1" sqref="E17">
      <formula1>$X$43:$X$45</formula1>
    </dataValidation>
    <dataValidation type="list" allowBlank="1" showInputMessage="1" showErrorMessage="1" sqref="E16 E19 E15:F15">
      <formula1>$X$38:$X$39</formula1>
    </dataValidation>
    <dataValidation type="list" operator="greaterThan" allowBlank="1" showInputMessage="1" showErrorMessage="1" sqref="E14">
      <formula1>X27:X31</formula1>
    </dataValidation>
    <dataValidation type="whole" allowBlank="1" showInputMessage="1" showErrorMessage="1" errorTitle="Неверное значение" error="Не более двух доводчиков на одну дверь." sqref="E13:F13">
      <formula1>0</formula1>
      <formula2>IF(OR(E9=X6,E9=X5),2,4)</formula2>
    </dataValidation>
    <dataValidation type="list" allowBlank="1" showInputMessage="1" showErrorMessage="1" sqref="C28:C31">
      <formula1>$X$35:$X$36</formula1>
    </dataValidation>
    <dataValidation type="list" allowBlank="1" showInputMessage="1" showErrorMessage="1" sqref="C27">
      <formula1>$X$13:$X$15</formula1>
    </dataValidation>
  </dataValidations>
  <hyperlinks>
    <hyperlink ref="K38" location="Оглавление!A1" display="оглавление"/>
  </hyperlinks>
  <printOptions horizontalCentered="1"/>
  <pageMargins left="0.39370078740157483" right="0.39370078740157483" top="0.39370078740157483" bottom="0.39370078740157483" header="0" footer="0"/>
  <pageSetup paperSize="9" scale="7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FD35E87-35CE-4A9E-8340-B378B2FECECE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Оглавление</vt:lpstr>
      <vt:lpstr>Видимый верхний трек</vt:lpstr>
      <vt:lpstr>Скрытый верхний трек, корпус</vt:lpstr>
      <vt:lpstr>Скрытый верхний трек, проем</vt:lpstr>
      <vt:lpstr>'Видимый верхний трек'!Область_печати</vt:lpstr>
      <vt:lpstr>'Скрытый верхний трек, корпус'!Область_печати</vt:lpstr>
      <vt:lpstr>'Скрытый верхний трек, проем'!Область_печати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2020-10-29T14:10:44Z</dcterms:modified>
</cp:coreProperties>
</file>