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workbookProtection workbookAlgorithmName="SHA-512" workbookHashValue="c3Mr35bKiKfHkzbAlDuzfEUnXtX0D6laSbq18DGu7zXWfGjdDDHmhgEKF/BJagqjdsmtw9lIjxpELpPfTr7CGg==" workbookSaltValue="gCHMFrB9IbG2HyzvWQTC1A==" workbookSpinCount="100000" lockStructure="1"/>
  <bookViews>
    <workbookView xWindow="0" yWindow="0" windowWidth="20490" windowHeight="7620" tabRatio="874"/>
  </bookViews>
  <sheets>
    <sheet name="Оглавление" sheetId="6" r:id="rId1"/>
    <sheet name="Раздвижные двери" sheetId="1" r:id="rId2"/>
    <sheet name="Распашные двери" sheetId="7" r:id="rId3"/>
    <sheet name="Эконом" sheetId="8" r:id="rId4"/>
  </sheets>
  <definedNames>
    <definedName name="_xlnm.Print_Area" localSheetId="1">'Раздвижные двери'!$B$3:$K$36</definedName>
    <definedName name="_xlnm.Print_Area" localSheetId="2">'Распашные двери'!$B$3:$K$36</definedName>
    <definedName name="_xlnm.Print_Area" localSheetId="3">Эконом!$B$3:$K$36</definedName>
  </definedNames>
  <calcPr calcId="162913"/>
</workbook>
</file>

<file path=xl/calcChain.xml><?xml version="1.0" encoding="utf-8"?>
<calcChain xmlns="http://schemas.openxmlformats.org/spreadsheetml/2006/main">
  <c r="K6" i="1" l="1"/>
  <c r="K11" i="1"/>
  <c r="I11" i="1"/>
  <c r="H11" i="1"/>
  <c r="J12" i="8" l="1"/>
  <c r="I12" i="8"/>
  <c r="H12" i="8"/>
  <c r="I11" i="7"/>
  <c r="M10" i="7"/>
  <c r="J11" i="7"/>
  <c r="H11" i="7"/>
  <c r="M16" i="7" s="1"/>
  <c r="I12" i="1"/>
  <c r="H12" i="1"/>
  <c r="M16" i="1" s="1"/>
  <c r="M12" i="8" l="1"/>
  <c r="M13" i="7"/>
  <c r="M11" i="7"/>
  <c r="M15" i="7"/>
  <c r="M12" i="7"/>
  <c r="M14" i="7"/>
  <c r="J24" i="8"/>
  <c r="J23" i="8"/>
  <c r="D25" i="8" l="1"/>
  <c r="K6" i="8"/>
  <c r="J20" i="8" l="1"/>
  <c r="J19" i="8"/>
  <c r="G29" i="8" l="1"/>
  <c r="G28" i="8"/>
  <c r="G27" i="8"/>
  <c r="G26" i="8"/>
  <c r="F26" i="8"/>
  <c r="J21" i="8"/>
  <c r="C21" i="8"/>
  <c r="K15" i="8"/>
  <c r="J11" i="8"/>
  <c r="M11" i="8" s="1"/>
  <c r="E11" i="8"/>
  <c r="M10" i="8"/>
  <c r="J10" i="8"/>
  <c r="E10" i="8"/>
  <c r="F29" i="8" s="1"/>
  <c r="J21" i="7"/>
  <c r="J27" i="8" l="1"/>
  <c r="G25" i="8"/>
  <c r="C31" i="8" s="1"/>
  <c r="D31" i="8" s="1"/>
  <c r="K14" i="8"/>
  <c r="K16" i="8"/>
  <c r="F28" i="8"/>
  <c r="P55" i="8"/>
  <c r="K7" i="8" s="1"/>
  <c r="K13" i="8"/>
  <c r="F25" i="8"/>
  <c r="F27" i="8"/>
  <c r="P56" i="8"/>
  <c r="E29" i="8" l="1"/>
  <c r="M35" i="8" s="1"/>
  <c r="E27" i="8"/>
  <c r="M33" i="8" s="1"/>
  <c r="E25" i="8"/>
  <c r="E28" i="8"/>
  <c r="M34" i="8" s="1"/>
  <c r="E26" i="8"/>
  <c r="M32" i="8" s="1"/>
  <c r="C33" i="8"/>
  <c r="J13" i="8"/>
  <c r="M14" i="8" s="1"/>
  <c r="K12" i="8"/>
  <c r="M13" i="8" l="1"/>
  <c r="J25" i="8"/>
  <c r="J26" i="8" s="1"/>
  <c r="J16" i="8"/>
  <c r="M17" i="8" s="1"/>
  <c r="J14" i="8"/>
  <c r="M15" i="8" s="1"/>
  <c r="J15" i="8"/>
  <c r="M16" i="8" s="1"/>
  <c r="M31" i="8"/>
  <c r="M36" i="8" s="1"/>
  <c r="J22" i="8"/>
  <c r="M18" i="8" l="1"/>
  <c r="K6" i="7" l="1"/>
  <c r="E10" i="7"/>
  <c r="G29" i="7"/>
  <c r="G28" i="7"/>
  <c r="G27" i="7"/>
  <c r="G26" i="7"/>
  <c r="F26" i="7"/>
  <c r="C21" i="7"/>
  <c r="J10" i="7"/>
  <c r="F29" i="7"/>
  <c r="D25" i="7"/>
  <c r="P56" i="7" l="1"/>
  <c r="J25" i="7"/>
  <c r="J18" i="7"/>
  <c r="P55" i="7"/>
  <c r="K7" i="7" s="1"/>
  <c r="P57" i="7"/>
  <c r="K14" i="7"/>
  <c r="J27" i="7" s="1"/>
  <c r="P60" i="7"/>
  <c r="P58" i="7"/>
  <c r="P59" i="7"/>
  <c r="J26" i="7"/>
  <c r="G25" i="7"/>
  <c r="C31" i="7" s="1"/>
  <c r="D31" i="7" s="1"/>
  <c r="K13" i="7"/>
  <c r="K15" i="7"/>
  <c r="F28" i="7"/>
  <c r="K12" i="7"/>
  <c r="F25" i="7"/>
  <c r="F27" i="7"/>
  <c r="J36" i="1"/>
  <c r="J35" i="1"/>
  <c r="C33" i="7" l="1"/>
  <c r="E28" i="7"/>
  <c r="M34" i="7" s="1"/>
  <c r="E26" i="7"/>
  <c r="M32" i="7" s="1"/>
  <c r="E29" i="7"/>
  <c r="M35" i="7" s="1"/>
  <c r="E27" i="7"/>
  <c r="M33" i="7" s="1"/>
  <c r="E25" i="7"/>
  <c r="J19" i="7" s="1"/>
  <c r="J12" i="7"/>
  <c r="M17" i="7" s="1"/>
  <c r="K11" i="7"/>
  <c r="J21" i="1"/>
  <c r="J22" i="7" l="1"/>
  <c r="J23" i="7" s="1"/>
  <c r="J24" i="7"/>
  <c r="J15" i="7"/>
  <c r="M20" i="7" s="1"/>
  <c r="J13" i="7"/>
  <c r="M18" i="7" s="1"/>
  <c r="J14" i="7"/>
  <c r="M19" i="7" s="1"/>
  <c r="M31" i="7"/>
  <c r="M36" i="7" s="1"/>
  <c r="J20" i="7"/>
  <c r="K16" i="1"/>
  <c r="M21" i="7" l="1"/>
  <c r="M38" i="7" s="1"/>
  <c r="F35" i="7" s="1"/>
  <c r="D32" i="1" l="1"/>
  <c r="J12" i="1"/>
  <c r="F33" i="1"/>
  <c r="C28" i="1" l="1"/>
  <c r="E11" i="1" l="1"/>
  <c r="E10" i="1"/>
  <c r="G35" i="1"/>
  <c r="G34" i="1"/>
  <c r="G33" i="1"/>
  <c r="G32" i="1"/>
  <c r="P60" i="1" l="1"/>
  <c r="P58" i="1"/>
  <c r="P56" i="1"/>
  <c r="P59" i="1"/>
  <c r="P57" i="1"/>
  <c r="P55" i="1"/>
  <c r="J20" i="1"/>
  <c r="K17" i="1"/>
  <c r="K15" i="1"/>
  <c r="J29" i="1" s="1"/>
  <c r="K13" i="1"/>
  <c r="K12" i="1"/>
  <c r="M17" i="1" s="1"/>
  <c r="J27" i="1"/>
  <c r="J28" i="1"/>
  <c r="J37" i="1"/>
  <c r="F34" i="1"/>
  <c r="F36" i="1"/>
  <c r="F32" i="1"/>
  <c r="F35" i="1"/>
  <c r="K14" i="1"/>
  <c r="M15" i="1" l="1"/>
  <c r="M14" i="1"/>
  <c r="M13" i="1"/>
  <c r="M12" i="1"/>
  <c r="K7" i="1"/>
  <c r="J32" i="1"/>
  <c r="J34" i="1"/>
  <c r="J10" i="1"/>
  <c r="E32" i="1" l="1"/>
  <c r="E36" i="1"/>
  <c r="E34" i="1"/>
  <c r="E35" i="1"/>
  <c r="E33" i="1"/>
  <c r="M32" i="1" s="1"/>
  <c r="M35" i="1"/>
  <c r="M33" i="1"/>
  <c r="M34" i="1"/>
  <c r="J13" i="1"/>
  <c r="M18" i="1" s="1"/>
  <c r="J14" i="1" l="1"/>
  <c r="M19" i="1" s="1"/>
  <c r="J16" i="1"/>
  <c r="M21" i="1" s="1"/>
  <c r="J15" i="1"/>
  <c r="M20" i="1" s="1"/>
  <c r="J17" i="1"/>
  <c r="M22" i="1" s="1"/>
  <c r="M23" i="1" s="1"/>
  <c r="J11" i="1" l="1"/>
  <c r="J30" i="1" l="1"/>
  <c r="J31" i="1" s="1"/>
  <c r="J22" i="1"/>
  <c r="J33" i="1"/>
  <c r="M31" i="1" l="1"/>
  <c r="M36" i="1" s="1"/>
  <c r="J23" i="1"/>
  <c r="G31" i="1" l="1"/>
  <c r="C40" i="1" s="1"/>
  <c r="M38" i="1" l="1"/>
  <c r="F42" i="1" s="1"/>
  <c r="C38" i="1"/>
  <c r="D38" i="1" s="1"/>
  <c r="J25" i="1" l="1"/>
  <c r="J24" i="1"/>
  <c r="J26" i="1"/>
  <c r="M38" i="8"/>
  <c r="F35" i="8" s="1"/>
</calcChain>
</file>

<file path=xl/sharedStrings.xml><?xml version="1.0" encoding="utf-8"?>
<sst xmlns="http://schemas.openxmlformats.org/spreadsheetml/2006/main" count="390" uniqueCount="155">
  <si>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</si>
  <si>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</si>
  <si>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</si>
  <si>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</si>
  <si>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</si>
  <si>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</si>
  <si>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</si>
  <si>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</si>
  <si>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</si>
  <si>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</si>
  <si>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</si>
  <si>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</si>
  <si>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</si>
  <si>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</si>
  <si>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</si>
  <si>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оглавление</t>
  </si>
  <si>
    <t>Количество средних рамок для одной двери</t>
  </si>
  <si>
    <t>Количество доводчиков общее, штук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</si>
  <si>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</si>
  <si>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</si>
  <si>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</si>
  <si>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</si>
  <si>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</si>
  <si>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</si>
  <si>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</si>
  <si>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</si>
  <si>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</si>
  <si>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</si>
  <si>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</si>
  <si>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</si>
  <si>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</si>
  <si>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</si>
  <si>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</si>
  <si>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</si>
  <si>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ЛДСП, 10 мм</t>
  </si>
  <si>
    <t>ЛДСП, 8 мм</t>
  </si>
  <si>
    <t>Стекло, зеркало 4 мм</t>
  </si>
  <si>
    <t>АВ-75</t>
  </si>
  <si>
    <t xml:space="preserve">Направляющая верхняя </t>
  </si>
  <si>
    <t>CKRU0046</t>
  </si>
  <si>
    <t xml:space="preserve">Направляющая нижняя </t>
  </si>
  <si>
    <t>CKRU0504</t>
  </si>
  <si>
    <t xml:space="preserve">Комплект колес 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</si>
  <si>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</si>
  <si>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</si>
  <si>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</si>
  <si>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П-8мм</t>
  </si>
  <si>
    <t>R-04</t>
  </si>
  <si>
    <t>Уплотнитель П-образный 8 мм</t>
  </si>
  <si>
    <t>Уплотнитель резиновый 4 мм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</si>
  <si>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</si>
  <si>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</si>
  <si>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</si>
  <si>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</si>
  <si>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</si>
  <si>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</si>
  <si>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</si>
  <si>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ARD02U 1030</t>
  </si>
  <si>
    <t>ARD02U 3050</t>
  </si>
  <si>
    <t>ARD02U 5070</t>
  </si>
  <si>
    <t>Прищепка для шлегеля 9*5мм</t>
  </si>
  <si>
    <t xml:space="preserve">АМ04 </t>
  </si>
  <si>
    <t>Замок универсальный</t>
  </si>
  <si>
    <t>ARL-U</t>
  </si>
  <si>
    <t>ARS01</t>
  </si>
  <si>
    <t>X01</t>
  </si>
  <si>
    <t>AB-53</t>
  </si>
  <si>
    <t>MT/ST 9*5-6P6L</t>
  </si>
  <si>
    <t>КНП 01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</si>
  <si>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</si>
  <si>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</si>
  <si>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</si>
  <si>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</si>
  <si>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Доводчик универсальный*</t>
  </si>
  <si>
    <t>Вес одной двери:</t>
  </si>
  <si>
    <t>* в расчетах веса двери не учитывается уклон пола помещения</t>
  </si>
  <si>
    <t>Стопор</t>
  </si>
  <si>
    <t>Стопор верхний</t>
  </si>
  <si>
    <t>Стопор нижний</t>
  </si>
  <si>
    <t>Конфигурация профиля</t>
  </si>
  <si>
    <t>Уплотнитель полиуретановый</t>
  </si>
  <si>
    <t>С</t>
  </si>
  <si>
    <t>Н</t>
  </si>
  <si>
    <t>Fusion</t>
  </si>
  <si>
    <t>Flat</t>
  </si>
  <si>
    <t>O</t>
  </si>
  <si>
    <t>I</t>
  </si>
  <si>
    <t>с саморезом</t>
  </si>
  <si>
    <t>без самореза</t>
  </si>
  <si>
    <t>Вариант средней рамки*</t>
  </si>
  <si>
    <t>* окутанные рамки только с саморезом</t>
  </si>
  <si>
    <t>Замок асимметричный (для профилей С, Flat, О, I)</t>
  </si>
  <si>
    <t>Вертикальный профиль C</t>
  </si>
  <si>
    <t>Вертикальный профиль H</t>
  </si>
  <si>
    <t>Вертикальный профиль Fusion</t>
  </si>
  <si>
    <t>Вертикальный профиль Flat</t>
  </si>
  <si>
    <t>Вертикальный профиль O</t>
  </si>
  <si>
    <t>Вертикальный профиль I</t>
  </si>
  <si>
    <t>Рамка верхняя</t>
  </si>
  <si>
    <t>Рамка нижняя</t>
  </si>
  <si>
    <t xml:space="preserve">Рамка средняя </t>
  </si>
  <si>
    <t>Рамка средняя без самореза</t>
  </si>
  <si>
    <t>CKRU0010B</t>
  </si>
  <si>
    <t>CKRU0008B</t>
  </si>
  <si>
    <t>CKRU0413</t>
  </si>
  <si>
    <t>CKRU0533</t>
  </si>
  <si>
    <t>CKRU0482</t>
  </si>
  <si>
    <t>CKRU0639</t>
  </si>
  <si>
    <t>Упор прямой</t>
  </si>
  <si>
    <t>Планка декоративная для доводчика</t>
  </si>
  <si>
    <t>CKRU0004</t>
  </si>
  <si>
    <t>CKRU0006</t>
  </si>
  <si>
    <t>CKRU0640</t>
  </si>
  <si>
    <t>CKRU0216А</t>
  </si>
  <si>
    <t>CKRU0591</t>
  </si>
  <si>
    <t>Type С</t>
  </si>
  <si>
    <t>Type А</t>
  </si>
  <si>
    <t>W-QL</t>
  </si>
  <si>
    <t>Саморез сборочный 6*30мм (для средних рамок с саморезом)</t>
  </si>
  <si>
    <t>Замок асимметричный</t>
  </si>
  <si>
    <t>Замок для профиля Fusion, для дверей в двух плоскостях</t>
  </si>
  <si>
    <t>ARPP-11</t>
  </si>
  <si>
    <t>ARL-A</t>
  </si>
  <si>
    <t>Количество перекрытий</t>
  </si>
  <si>
    <t>Расчет раздвижных дверей системы СТАНДАРТ</t>
  </si>
  <si>
    <t>Расчет распашных дверей системы СТАНДАРТ</t>
  </si>
  <si>
    <t>I-----  -----I</t>
  </si>
  <si>
    <t>I-----I</t>
  </si>
  <si>
    <t>Механизм распашной</t>
  </si>
  <si>
    <t>АВ-01</t>
  </si>
  <si>
    <t>АВ20 DZ</t>
  </si>
  <si>
    <t>202-1B DZ</t>
  </si>
  <si>
    <t>Направляющая для распашной двери</t>
  </si>
  <si>
    <t>CKRU0044</t>
  </si>
  <si>
    <t>Конфигурация магнитной защелки</t>
  </si>
  <si>
    <t>возвратная</t>
  </si>
  <si>
    <t>невозвратная</t>
  </si>
  <si>
    <t>Элемент, скрывающий отверстия**</t>
  </si>
  <si>
    <t>** для профилей Flat и Fusion рекомендуем использовать шлегель или уплотнитель</t>
  </si>
  <si>
    <t>ecо Type С</t>
  </si>
  <si>
    <t>Расчет раздвижных дверей системы ЭКОНОМ</t>
  </si>
  <si>
    <t>Защелка магнитная невозвратная с подставкой</t>
  </si>
  <si>
    <t>Защелка магнитная возвратная с подставкой</t>
  </si>
  <si>
    <t>CKRU0457</t>
  </si>
  <si>
    <t>CKRU0456</t>
  </si>
  <si>
    <t>CKRU0453</t>
  </si>
  <si>
    <t>CKRU0503</t>
  </si>
  <si>
    <t>CKRU0455</t>
  </si>
  <si>
    <t>CKRU0331U</t>
  </si>
  <si>
    <t>CKRU0452</t>
  </si>
  <si>
    <t>CKRU0471</t>
  </si>
  <si>
    <t>Врезная нижняя направляющая</t>
  </si>
  <si>
    <t>CKRU0690</t>
  </si>
  <si>
    <t>Направляющая нижняя врезная</t>
  </si>
  <si>
    <t>Расположение дверей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</si>
</sst>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#,##0&quot; кг.&quot;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7">
    <xf numFmtId="0" fontId="0" fillId="0" borderId="0" xfId="0"/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4" borderId="12" xfId="0" applyFill="1" applyBorder="1"/>
    <xf numFmtId="0" fontId="0" fillId="4" borderId="14" xfId="0" applyFill="1" applyBorder="1"/>
    <xf numFmtId="0" fontId="0" fillId="4" borderId="20" xfId="0" applyFill="1" applyBorder="1"/>
    <xf numFmtId="0" fontId="0" fillId="4" borderId="0" xfId="0" applyFill="1"/>
    <xf numFmtId="0" fontId="0" fillId="4" borderId="21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7" xfId="0" applyFill="1" applyBorder="1"/>
    <xf numFmtId="0" fontId="0" fillId="4" borderId="22" xfId="0" applyFill="1" applyBorder="1"/>
    <xf numFmtId="0" fontId="1" fillId="3" borderId="1" xfId="0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</xf>
    <xf numFmtId="166" fontId="13" fillId="0" borderId="0" xfId="0" applyNumberFormat="1" applyFont="1" applyFill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2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23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6" fontId="1" fillId="0" borderId="9" xfId="0" applyNumberFormat="1" applyFont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" fillId="0" borderId="8" xfId="0" applyFont="1" applyBorder="1" applyProtection="1"/>
    <xf numFmtId="0" fontId="1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vertical="center"/>
    </xf>
    <xf numFmtId="164" fontId="1" fillId="0" borderId="18" xfId="0" applyNumberFormat="1" applyFont="1" applyBorder="1" applyAlignment="1" applyProtection="1">
      <alignment horizontal="center" vertical="center"/>
    </xf>
    <xf numFmtId="166" fontId="1" fillId="0" borderId="6" xfId="0" applyNumberFormat="1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68" fontId="1" fillId="0" borderId="23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8" fillId="2" borderId="3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7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6" fillId="0" borderId="0" xfId="0" applyFont="1" applyProtection="1"/>
    <xf numFmtId="0" fontId="7" fillId="0" borderId="1" xfId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 wrapText="1"/>
    </xf>
    <xf numFmtId="166" fontId="11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 wrapText="1"/>
    </xf>
    <xf numFmtId="166" fontId="11" fillId="0" borderId="6" xfId="0" applyNumberFormat="1" applyFont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167" fontId="2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/>
    </xf>
    <xf numFmtId="166" fontId="2" fillId="0" borderId="9" xfId="0" applyNumberFormat="1" applyFont="1" applyBorder="1" applyAlignment="1" applyProtection="1">
      <alignment horizontal="center"/>
    </xf>
    <xf numFmtId="165" fontId="2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/>
    </xf>
    <xf numFmtId="165" fontId="2" fillId="0" borderId="9" xfId="0" applyNumberFormat="1" applyFont="1" applyBorder="1" applyAlignment="1" applyProtection="1">
      <alignment horizontal="center"/>
    </xf>
    <xf numFmtId="0" fontId="1" fillId="0" borderId="7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</xf>
  </cellXfs>
  <cellStyles count="2">
    <cellStyle name="Гиперссылка" xfId="1" builtinId="8"/>
    <cellStyle name="Обычный" xfId="0" builtinId="0"/>
  </cellStyles>
  <dxfs count="11"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6;&#1072;&#1079;&#1076;&#1074;&#1080;&#1078;&#1085;&#1099;&#1077; &#1076;&#1074;&#1077;&#1088;&#1080;'!E6"/><Relationship Id="rId2" Type="http://schemas.openxmlformats.org/officeDocument/2006/relationships/hyperlink" Target="#'&#1056;&#1072;&#1089;&#1087;&#1072;&#1096;&#1085;&#1099;&#1077; &#1076;&#1074;&#1077;&#1088;&#1080;'!E6"/><Relationship Id="rId1" Type="http://schemas.openxmlformats.org/officeDocument/2006/relationships/hyperlink" Target="#&#1069;&#1082;&#1086;&#1085;&#1086;&#1084;!E6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Раздвижные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двери ЭКОНОМ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Распашные двери СТАНДАРТ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Раздвижные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двери СТАНДАРТ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557891</xdr:colOff>
      <xdr:row>36</xdr:row>
      <xdr:rowOff>217717</xdr:rowOff>
    </xdr:from>
    <xdr:to>
      <xdr:col>1</xdr:col>
      <xdr:colOff>1986643</xdr:colOff>
      <xdr:row>49</xdr:row>
      <xdr:rowOff>54429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8" y="9157610"/>
          <a:ext cx="1428752" cy="3020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29</xdr:row>
      <xdr:rowOff>190503</xdr:rowOff>
    </xdr:from>
    <xdr:to>
      <xdr:col>1</xdr:col>
      <xdr:colOff>2095500</xdr:colOff>
      <xdr:row>42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29</xdr:row>
      <xdr:rowOff>190503</xdr:rowOff>
    </xdr:from>
    <xdr:to>
      <xdr:col>1</xdr:col>
      <xdr:colOff>2095500</xdr:colOff>
      <xdr:row>42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9"/>
  <sheetViews>
    <sheetView tabSelected="1" workbookViewId="0">
      <selection activeCell="A4" sqref="A4"/>
    </sheetView>
  </sheetViews>
  <sheetFormatPr defaultRowHeight="15" x14ac:dyDescent="0.25"/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10"/>
      <c r="K1" s="11"/>
    </row>
    <row r="2" spans="1:11" x14ac:dyDescent="0.25">
      <c r="A2" s="12"/>
      <c r="B2" s="13"/>
      <c r="C2" s="13"/>
      <c r="D2" s="13"/>
      <c r="E2" s="13"/>
      <c r="F2" s="13"/>
      <c r="G2" s="13"/>
      <c r="H2" s="13"/>
      <c r="I2" s="13"/>
      <c r="J2" s="14"/>
      <c r="K2" s="11"/>
    </row>
    <row r="3" spans="1:11" x14ac:dyDescent="0.25">
      <c r="A3" s="12"/>
      <c r="B3" s="13"/>
      <c r="C3" s="13"/>
      <c r="D3" s="13"/>
      <c r="E3" s="13"/>
      <c r="F3" s="13"/>
      <c r="G3" s="13"/>
      <c r="H3" s="13"/>
      <c r="I3" s="13"/>
      <c r="J3" s="14"/>
      <c r="K3" s="11"/>
    </row>
    <row r="4" spans="1:11" x14ac:dyDescent="0.25">
      <c r="A4" s="12"/>
      <c r="B4" s="13"/>
      <c r="C4" s="13"/>
      <c r="D4" s="13"/>
      <c r="E4" s="13"/>
      <c r="F4" s="13"/>
      <c r="G4" s="13"/>
      <c r="H4" s="13"/>
      <c r="I4" s="13"/>
      <c r="J4" s="14"/>
      <c r="K4" s="11"/>
    </row>
    <row r="5" spans="1:11" x14ac:dyDescent="0.25">
      <c r="A5" s="12"/>
      <c r="B5" s="13"/>
      <c r="C5" s="13"/>
      <c r="D5" s="13"/>
      <c r="E5" s="13"/>
      <c r="F5" s="13"/>
      <c r="G5" s="13"/>
      <c r="H5" s="13"/>
      <c r="I5" s="13"/>
      <c r="J5" s="14"/>
      <c r="K5" s="11"/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4"/>
      <c r="K6" s="11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4"/>
      <c r="K7" s="11"/>
    </row>
    <row r="8" spans="1:11" x14ac:dyDescent="0.25">
      <c r="A8" s="12"/>
      <c r="B8" s="13"/>
      <c r="C8" s="13"/>
      <c r="D8" s="13"/>
      <c r="E8" s="13"/>
      <c r="F8" s="13"/>
      <c r="G8" s="13"/>
      <c r="H8" s="13"/>
      <c r="I8" s="13"/>
      <c r="J8" s="14"/>
      <c r="K8" s="11"/>
    </row>
    <row r="9" spans="1:11" x14ac:dyDescent="0.25">
      <c r="A9" s="12"/>
      <c r="B9" s="13"/>
      <c r="C9" s="13"/>
      <c r="D9" s="13"/>
      <c r="E9" s="13"/>
      <c r="F9" s="13"/>
      <c r="G9" s="13"/>
      <c r="H9" s="13"/>
      <c r="I9" s="13"/>
      <c r="J9" s="14"/>
      <c r="K9" s="11"/>
    </row>
    <row r="10" spans="1:1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4"/>
      <c r="K10" s="11"/>
    </row>
    <row r="11" spans="1:1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4"/>
      <c r="K11" s="11"/>
    </row>
    <row r="12" spans="1:1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1"/>
    </row>
    <row r="13" spans="1:1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4"/>
      <c r="K13" s="11"/>
    </row>
    <row r="14" spans="1:1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4"/>
      <c r="K14" s="11"/>
    </row>
    <row r="15" spans="1:1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4"/>
      <c r="K15" s="11"/>
    </row>
    <row r="16" spans="1:11" ht="15.7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7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sheetProtection algorithmName="SHA-512" hashValue="s75QMOAfcth+e2QqAHp88ltl9ENVem1MDuRfq7f/+qVAAPo/WFXcLx5IpDGQgEbG3mvwhsh5VE9HKoYdIjOG8w==" saltValue="FmaP1LC+oYJ/XWUz5BQOwA==" spinCount="100000" sheet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Q74"/>
  <sheetViews>
    <sheetView zoomScale="70" zoomScaleNormal="70" workbookViewId="0">
      <selection activeCell="E6" sqref="E6:F6"/>
    </sheetView>
  </sheetViews>
  <sheetFormatPr defaultColWidth="9.140625" defaultRowHeight="18.75" x14ac:dyDescent="0.3"/>
  <cols>
    <col min="1" max="1" width="3" style="30" customWidth="1"/>
    <col min="2" max="2" width="43.42578125" style="30" customWidth="1"/>
    <col min="3" max="3" width="41.7109375" style="30" customWidth="1"/>
    <col min="4" max="6" width="14.7109375" style="87" customWidth="1"/>
    <col min="7" max="7" width="2.7109375" style="30" customWidth="1"/>
    <col min="8" max="8" width="80.28515625" style="30" customWidth="1"/>
    <col min="9" max="9" width="17.140625" style="30" customWidth="1"/>
    <col min="10" max="10" width="16.7109375" style="30" customWidth="1"/>
    <col min="11" max="11" width="13.42578125" style="30" customWidth="1"/>
    <col min="12" max="12" width="15.140625" style="30" hidden="1" customWidth="1"/>
    <col min="13" max="13" width="13.28515625" style="30" hidden="1" customWidth="1"/>
    <col min="14" max="14" width="9.140625" style="30" hidden="1" customWidth="1"/>
    <col min="15" max="15" width="33.140625" style="30" hidden="1" customWidth="1"/>
    <col min="16" max="16" width="17.5703125" style="30" hidden="1" customWidth="1"/>
    <col min="17" max="17" width="0" style="30" hidden="1" customWidth="1"/>
    <col min="18" max="16384" width="9.140625" style="30"/>
  </cols>
  <sheetData>
    <row r="1" spans="2:17" x14ac:dyDescent="0.3">
      <c r="B1" s="29"/>
      <c r="C1" s="29"/>
    </row>
    <row r="2" spans="2:17" s="31" customFormat="1" ht="27.6" customHeight="1" x14ac:dyDescent="0.25">
      <c r="B2" s="97" t="s">
        <v>124</v>
      </c>
      <c r="C2" s="97"/>
      <c r="D2" s="97"/>
      <c r="E2" s="97"/>
      <c r="F2" s="97"/>
      <c r="G2" s="97"/>
      <c r="H2" s="97"/>
      <c r="I2" s="97"/>
      <c r="J2" s="97"/>
      <c r="K2" s="97"/>
    </row>
    <row r="3" spans="2:17" s="32" customFormat="1" ht="20.100000000000001" customHeight="1" x14ac:dyDescent="0.3">
      <c r="B3" s="33"/>
      <c r="C3" s="33"/>
      <c r="D3" s="33"/>
      <c r="E3" s="33"/>
      <c r="F3" s="33"/>
      <c r="H3" s="34"/>
      <c r="I3" s="34"/>
      <c r="J3" s="34"/>
      <c r="K3" s="34"/>
      <c r="O3" s="35" t="s">
        <v>18</v>
      </c>
      <c r="P3" s="32" t="s">
        <v>40</v>
      </c>
      <c r="Q3" s="31" t="s">
        <v>41</v>
      </c>
    </row>
    <row r="4" spans="2:17" s="32" customFormat="1" ht="20.100000000000001" customHeight="1" x14ac:dyDescent="0.25">
      <c r="B4" s="102" t="s">
        <v>11</v>
      </c>
      <c r="C4" s="102"/>
      <c r="D4" s="102"/>
      <c r="E4" s="102"/>
      <c r="F4" s="86"/>
      <c r="H4" s="102" t="s">
        <v>10</v>
      </c>
      <c r="I4" s="102"/>
      <c r="J4" s="102"/>
      <c r="K4" s="102"/>
      <c r="O4" s="35" t="s">
        <v>19</v>
      </c>
      <c r="P4" s="32" t="s">
        <v>153</v>
      </c>
      <c r="Q4" s="31" t="s">
        <v>152</v>
      </c>
    </row>
    <row r="5" spans="2:17" s="31" customFormat="1" ht="20.100000000000001" customHeight="1" thickBot="1" x14ac:dyDescent="0.3">
      <c r="B5" s="36"/>
      <c r="C5" s="36"/>
      <c r="D5" s="36"/>
      <c r="E5" s="36"/>
      <c r="F5" s="36"/>
      <c r="G5" s="32"/>
      <c r="H5" s="36"/>
      <c r="I5" s="36"/>
      <c r="J5" s="36"/>
      <c r="K5" s="36"/>
      <c r="O5" s="35" t="s">
        <v>20</v>
      </c>
    </row>
    <row r="6" spans="2:17" s="31" customFormat="1" ht="20.100000000000001" customHeight="1" x14ac:dyDescent="0.25">
      <c r="B6" s="133" t="s">
        <v>0</v>
      </c>
      <c r="C6" s="134"/>
      <c r="D6" s="134"/>
      <c r="E6" s="111">
        <v>2600</v>
      </c>
      <c r="F6" s="112"/>
      <c r="H6" s="103" t="s">
        <v>7</v>
      </c>
      <c r="I6" s="104"/>
      <c r="J6" s="37" t="s">
        <v>5</v>
      </c>
      <c r="K6" s="1">
        <f>IF(AND(E15=O37,E13&gt;0),E6-45,
IF(AND(E15=O37,E13=0),E6-40,
E6-39))</f>
        <v>2560</v>
      </c>
      <c r="O6" s="35" t="s">
        <v>21</v>
      </c>
    </row>
    <row r="7" spans="2:17" s="31" customFormat="1" ht="20.100000000000001" customHeight="1" thickBot="1" x14ac:dyDescent="0.3">
      <c r="B7" s="135" t="s">
        <v>14</v>
      </c>
      <c r="C7" s="136"/>
      <c r="D7" s="136"/>
      <c r="E7" s="113">
        <v>1400</v>
      </c>
      <c r="F7" s="114"/>
      <c r="H7" s="105"/>
      <c r="I7" s="106"/>
      <c r="J7" s="38" t="s">
        <v>6</v>
      </c>
      <c r="K7" s="2">
        <f>IF(E9=O55,P55,IF(E9=O56,P56,IF(E9=O57,P57,IF(E9=O58,P58,IF(E9=O59,P59,IF(E9=O60,P60,0))))))</f>
        <v>708</v>
      </c>
      <c r="O7" s="35" t="s">
        <v>22</v>
      </c>
    </row>
    <row r="8" spans="2:17" s="31" customFormat="1" ht="20.100000000000001" customHeight="1" thickBot="1" x14ac:dyDescent="0.3">
      <c r="B8" s="137" t="s">
        <v>154</v>
      </c>
      <c r="C8" s="138"/>
      <c r="D8" s="138"/>
      <c r="E8" s="113" t="s">
        <v>18</v>
      </c>
      <c r="F8" s="114"/>
      <c r="H8" s="39"/>
      <c r="I8" s="39"/>
      <c r="J8" s="40"/>
      <c r="K8" s="3"/>
    </row>
    <row r="9" spans="2:17" s="31" customFormat="1" ht="20.100000000000001" customHeight="1" x14ac:dyDescent="0.25">
      <c r="B9" s="141" t="s">
        <v>79</v>
      </c>
      <c r="C9" s="142"/>
      <c r="D9" s="142"/>
      <c r="E9" s="139" t="s">
        <v>81</v>
      </c>
      <c r="F9" s="140"/>
      <c r="H9" s="41" t="s">
        <v>2</v>
      </c>
      <c r="I9" s="73" t="s">
        <v>23</v>
      </c>
      <c r="J9" s="37" t="s">
        <v>3</v>
      </c>
      <c r="K9" s="42" t="s">
        <v>4</v>
      </c>
      <c r="L9" s="71"/>
    </row>
    <row r="10" spans="2:17" s="31" customFormat="1" ht="20.100000000000001" customHeight="1" x14ac:dyDescent="0.3">
      <c r="B10" s="137" t="s">
        <v>1</v>
      </c>
      <c r="C10" s="138"/>
      <c r="D10" s="138"/>
      <c r="E10" s="115">
        <f>IF(E8=O3,2,IF(E8=O4,3,IF(E8=O5,4,IF(E8=O6,4,IF(E8=O7,5)))))</f>
        <v>2</v>
      </c>
      <c r="F10" s="116"/>
      <c r="H10" s="82" t="s">
        <v>38</v>
      </c>
      <c r="I10" s="80" t="s">
        <v>39</v>
      </c>
      <c r="J10" s="81">
        <f>E7-2</f>
        <v>1398</v>
      </c>
      <c r="K10" s="83">
        <v>1</v>
      </c>
      <c r="L10" s="30"/>
      <c r="Q10" s="30"/>
    </row>
    <row r="11" spans="2:17" s="31" customFormat="1" ht="20.100000000000001" customHeight="1" x14ac:dyDescent="0.3">
      <c r="B11" s="137" t="s">
        <v>123</v>
      </c>
      <c r="C11" s="138"/>
      <c r="D11" s="138"/>
      <c r="E11" s="115">
        <f>IF(E8=O3,1,IF(E8=O4,2,IF(E8=O5,3,IF(E8=O6,2,IF(E8=O7,4)))))</f>
        <v>1</v>
      </c>
      <c r="F11" s="116"/>
      <c r="H11" s="82" t="str">
        <f>IF(E15=O37,P3,P4)</f>
        <v xml:space="preserve">Направляющая нижняя </v>
      </c>
      <c r="I11" s="80" t="str">
        <f>IF(E15=O37,Q3,Q4)</f>
        <v>CKRU0504</v>
      </c>
      <c r="J11" s="81">
        <f>E7-2</f>
        <v>1398</v>
      </c>
      <c r="K11" s="83">
        <f>IF(E15=O37,1,2)</f>
        <v>1</v>
      </c>
      <c r="L11" s="30"/>
      <c r="O11" s="23" t="s">
        <v>34</v>
      </c>
    </row>
    <row r="12" spans="2:17" s="31" customFormat="1" ht="20.100000000000001" customHeight="1" x14ac:dyDescent="0.3">
      <c r="B12" s="141" t="s">
        <v>89</v>
      </c>
      <c r="C12" s="142"/>
      <c r="D12" s="142"/>
      <c r="E12" s="139" t="s">
        <v>87</v>
      </c>
      <c r="F12" s="140"/>
      <c r="H12" s="85" t="str">
        <f>IF(E9=O55,O69,IF(E9=O56,O70,IF(E9=O57,O71,IF(E9=O58,O72,IF(E9=O59,O73,O74)))))</f>
        <v>Вертикальный профиль C</v>
      </c>
      <c r="I12" s="43" t="str">
        <f>IF(E9=O55,P69,IF(E9=O56,P70,IF(E9=O57,P71,IF(E9=O58,P72,IF(E9=O59,P73,P74)))))</f>
        <v>CKRU0010B</v>
      </c>
      <c r="J12" s="4">
        <f>$K$6</f>
        <v>2560</v>
      </c>
      <c r="K12" s="5">
        <f>IF(J12&gt;0,$E$10*2,0)</f>
        <v>4</v>
      </c>
      <c r="L12" s="30">
        <v>0.51200000000000001</v>
      </c>
      <c r="M12" s="92">
        <f>IF(H12=O69,L12*J12*K12/1000,0)</f>
        <v>5.2428800000000004</v>
      </c>
      <c r="O12" s="23" t="s">
        <v>35</v>
      </c>
    </row>
    <row r="13" spans="2:17" s="31" customFormat="1" ht="20.100000000000001" customHeight="1" x14ac:dyDescent="0.3">
      <c r="B13" s="135" t="s">
        <v>17</v>
      </c>
      <c r="C13" s="136"/>
      <c r="D13" s="136"/>
      <c r="E13" s="117">
        <v>0</v>
      </c>
      <c r="F13" s="118"/>
      <c r="H13" s="85" t="s">
        <v>98</v>
      </c>
      <c r="I13" s="43" t="s">
        <v>110</v>
      </c>
      <c r="J13" s="4">
        <f>IF(OR(E9=O55,E9=O58,E9=O59,E9=O60),K7-51,IF(E9=O56,K7-68,K7-76))</f>
        <v>657</v>
      </c>
      <c r="K13" s="5">
        <f>E10</f>
        <v>2</v>
      </c>
      <c r="L13" s="30">
        <v>0.495</v>
      </c>
      <c r="M13" s="92">
        <f>IF(H12=O70,L13*J12*K12/1000,0)</f>
        <v>0</v>
      </c>
      <c r="O13" s="23" t="s">
        <v>36</v>
      </c>
    </row>
    <row r="14" spans="2:17" s="31" customFormat="1" ht="20.100000000000001" customHeight="1" x14ac:dyDescent="0.3">
      <c r="B14" s="143" t="s">
        <v>16</v>
      </c>
      <c r="C14" s="144"/>
      <c r="D14" s="144"/>
      <c r="E14" s="117">
        <v>0</v>
      </c>
      <c r="F14" s="118"/>
      <c r="H14" s="85" t="s">
        <v>99</v>
      </c>
      <c r="I14" s="43" t="s">
        <v>111</v>
      </c>
      <c r="J14" s="4">
        <f>J13</f>
        <v>657</v>
      </c>
      <c r="K14" s="5">
        <f>E10</f>
        <v>2</v>
      </c>
      <c r="L14" s="30">
        <v>0.69</v>
      </c>
      <c r="M14" s="92">
        <f>IF(H12=O71,L14*J12*K12/1000,0)</f>
        <v>0</v>
      </c>
    </row>
    <row r="15" spans="2:17" s="31" customFormat="1" ht="20.100000000000001" customHeight="1" x14ac:dyDescent="0.3">
      <c r="B15" s="156" t="s">
        <v>151</v>
      </c>
      <c r="C15" s="155"/>
      <c r="D15" s="155"/>
      <c r="E15" s="139" t="s">
        <v>51</v>
      </c>
      <c r="F15" s="140"/>
      <c r="H15" s="85" t="s">
        <v>100</v>
      </c>
      <c r="I15" s="43" t="s">
        <v>112</v>
      </c>
      <c r="J15" s="4">
        <f>J13</f>
        <v>657</v>
      </c>
      <c r="K15" s="5">
        <f>IF(E12=O63,E10*E14,0)</f>
        <v>0</v>
      </c>
      <c r="L15" s="30">
        <v>0.53400000000000003</v>
      </c>
      <c r="M15" s="92">
        <f>IF(H12=O72,L15*J12*K12/1000,0)</f>
        <v>0</v>
      </c>
    </row>
    <row r="16" spans="2:17" s="31" customFormat="1" ht="20.100000000000001" customHeight="1" x14ac:dyDescent="0.25">
      <c r="B16" s="141" t="s">
        <v>9</v>
      </c>
      <c r="C16" s="142"/>
      <c r="D16" s="142"/>
      <c r="E16" s="139" t="s">
        <v>51</v>
      </c>
      <c r="F16" s="140"/>
      <c r="H16" s="85" t="s">
        <v>101</v>
      </c>
      <c r="I16" s="43" t="s">
        <v>113</v>
      </c>
      <c r="J16" s="4">
        <f>J13</f>
        <v>657</v>
      </c>
      <c r="K16" s="5">
        <f>IF(E12=O64,E10*E14,0)</f>
        <v>0</v>
      </c>
      <c r="L16" s="31">
        <v>0.36299999999999999</v>
      </c>
      <c r="M16" s="92">
        <f>IF(H12=O73,L16*J12*K12/1000,0)</f>
        <v>0</v>
      </c>
    </row>
    <row r="17" spans="2:15" s="31" customFormat="1" ht="20.100000000000001" customHeight="1" thickBot="1" x14ac:dyDescent="0.3">
      <c r="B17" s="141" t="s">
        <v>76</v>
      </c>
      <c r="C17" s="142"/>
      <c r="D17" s="142"/>
      <c r="E17" s="139" t="s">
        <v>51</v>
      </c>
      <c r="F17" s="140"/>
      <c r="H17" s="44" t="s">
        <v>109</v>
      </c>
      <c r="I17" s="84" t="s">
        <v>114</v>
      </c>
      <c r="J17" s="6">
        <f>J13-2</f>
        <v>655</v>
      </c>
      <c r="K17" s="7">
        <f>IF(E13&gt;0,E10,0)</f>
        <v>0</v>
      </c>
      <c r="L17" s="31">
        <v>0.36199999999999999</v>
      </c>
      <c r="M17" s="92">
        <f>IF(H12=O74,L17*J12*K12/1000,0)</f>
        <v>0</v>
      </c>
      <c r="O17" s="31" t="s">
        <v>43</v>
      </c>
    </row>
    <row r="18" spans="2:15" s="31" customFormat="1" ht="20.100000000000001" customHeight="1" thickBot="1" x14ac:dyDescent="0.3">
      <c r="B18" s="147" t="s">
        <v>54</v>
      </c>
      <c r="C18" s="148"/>
      <c r="D18" s="148"/>
      <c r="E18" s="145" t="s">
        <v>56</v>
      </c>
      <c r="F18" s="146"/>
      <c r="L18" s="31">
        <v>0.24099999999999999</v>
      </c>
      <c r="M18" s="31">
        <f>L18*J13*K13/1000</f>
        <v>0.31667399999999996</v>
      </c>
      <c r="O18" s="31" t="s">
        <v>44</v>
      </c>
    </row>
    <row r="19" spans="2:15" s="31" customFormat="1" ht="20.100000000000001" customHeight="1" x14ac:dyDescent="0.25">
      <c r="B19" s="141" t="s">
        <v>108</v>
      </c>
      <c r="C19" s="142"/>
      <c r="D19" s="142"/>
      <c r="E19" s="139" t="s">
        <v>51</v>
      </c>
      <c r="F19" s="140"/>
      <c r="H19" s="47" t="s">
        <v>8</v>
      </c>
      <c r="I19" s="73" t="s">
        <v>23</v>
      </c>
      <c r="J19" s="121" t="s">
        <v>4</v>
      </c>
      <c r="K19" s="122"/>
      <c r="L19" s="31">
        <v>0.49300000000000005</v>
      </c>
      <c r="M19" s="31">
        <f>L19*J14*K14/1000</f>
        <v>0.64780199999999999</v>
      </c>
    </row>
    <row r="20" spans="2:15" s="31" customFormat="1" ht="20.100000000000001" customHeight="1" x14ac:dyDescent="0.25">
      <c r="B20" s="141" t="s">
        <v>120</v>
      </c>
      <c r="C20" s="142"/>
      <c r="D20" s="142"/>
      <c r="E20" s="139" t="s">
        <v>51</v>
      </c>
      <c r="F20" s="140"/>
      <c r="H20" s="85" t="s">
        <v>42</v>
      </c>
      <c r="I20" s="48" t="s">
        <v>115</v>
      </c>
      <c r="J20" s="123">
        <f>IF(OR(E9=O55,E9=O58,E9=O59,E9=O60,E9=O55),E10,0)</f>
        <v>2</v>
      </c>
      <c r="K20" s="124"/>
      <c r="L20" s="31">
        <v>0.33600000000000002</v>
      </c>
      <c r="M20" s="31">
        <f>L20*J15*K15/1000</f>
        <v>0</v>
      </c>
    </row>
    <row r="21" spans="2:15" s="31" customFormat="1" ht="20.100000000000001" customHeight="1" x14ac:dyDescent="0.3">
      <c r="B21" s="141" t="s">
        <v>91</v>
      </c>
      <c r="C21" s="142"/>
      <c r="D21" s="142"/>
      <c r="E21" s="139" t="s">
        <v>51</v>
      </c>
      <c r="F21" s="140"/>
      <c r="H21" s="85" t="s">
        <v>42</v>
      </c>
      <c r="I21" s="48" t="s">
        <v>116</v>
      </c>
      <c r="J21" s="123">
        <f>IF(OR(E9=O56,E9=O57),E10,0)</f>
        <v>0</v>
      </c>
      <c r="K21" s="124"/>
      <c r="L21" s="31">
        <v>0.17199999999999999</v>
      </c>
      <c r="M21" s="31">
        <f>L21*J16*K16/1000</f>
        <v>0</v>
      </c>
      <c r="O21" s="30" t="s">
        <v>45</v>
      </c>
    </row>
    <row r="22" spans="2:15" s="31" customFormat="1" ht="20.100000000000001" customHeight="1" thickBot="1" x14ac:dyDescent="0.35">
      <c r="B22" s="109" t="s">
        <v>62</v>
      </c>
      <c r="C22" s="110"/>
      <c r="D22" s="110"/>
      <c r="E22" s="107" t="s">
        <v>51</v>
      </c>
      <c r="F22" s="108"/>
      <c r="H22" s="85" t="s">
        <v>48</v>
      </c>
      <c r="I22" s="28" t="s">
        <v>46</v>
      </c>
      <c r="J22" s="125">
        <f>ROUNDUP((IF(C32=O12,(D32+E32)*2*F32,0)
+IF(C33=O12,(D33+E33)*2*F33,0)
+IF(C34=O12,(D34+E34)*2*F34,0)
+IF(C35=O12,(D35+E35)*2*F35,0)
+IF(C36=O12,(D36+E36)*2*F36,0))/1000,0)</f>
        <v>0</v>
      </c>
      <c r="K22" s="126"/>
      <c r="L22" s="31">
        <v>0.11199999999999999</v>
      </c>
      <c r="M22" s="31">
        <f>L22*J17*K17/1000</f>
        <v>0</v>
      </c>
      <c r="O22" s="30" t="s">
        <v>13</v>
      </c>
    </row>
    <row r="23" spans="2:15" s="31" customFormat="1" ht="20.100000000000001" customHeight="1" thickBot="1" x14ac:dyDescent="0.3">
      <c r="H23" s="85" t="s">
        <v>49</v>
      </c>
      <c r="I23" s="28" t="s">
        <v>47</v>
      </c>
      <c r="J23" s="125">
        <f>ROUNDUP((IF(C32=O13,(D32+E32)*2*F32,0)
+IF(C33=O13,(D33+E33)*2*F33,0)
+IF(C34=O13,(D34+E34)*2*F34,0)
+IF(C35=O13,(D35+E35)*2*F35,0)
+IF(C36=O13,(D36+E36)*2*F36,0))/1000,0)</f>
        <v>13</v>
      </c>
      <c r="K23" s="126"/>
      <c r="M23" s="46">
        <f>SUM(M12:M22)/E10</f>
        <v>3.1036780000000004</v>
      </c>
    </row>
    <row r="24" spans="2:15" s="31" customFormat="1" ht="20.100000000000001" customHeight="1" x14ac:dyDescent="0.25">
      <c r="B24" s="31" t="s">
        <v>90</v>
      </c>
      <c r="H24" s="85" t="s">
        <v>73</v>
      </c>
      <c r="I24" s="48" t="s">
        <v>57</v>
      </c>
      <c r="J24" s="123">
        <f>IF(M38&lt;30,ROUNDUP(E13/2,0),0)</f>
        <v>0</v>
      </c>
      <c r="K24" s="124"/>
    </row>
    <row r="25" spans="2:15" s="31" customFormat="1" ht="20.100000000000001" customHeight="1" x14ac:dyDescent="0.25">
      <c r="H25" s="85" t="s">
        <v>73</v>
      </c>
      <c r="I25" s="48" t="s">
        <v>58</v>
      </c>
      <c r="J25" s="123">
        <f>IF(AND(M38&gt;=30,M38&lt;50),ROUNDUP(E13/2,0),0)</f>
        <v>0</v>
      </c>
      <c r="K25" s="124"/>
      <c r="O25" s="24">
        <v>0</v>
      </c>
    </row>
    <row r="26" spans="2:15" s="31" customFormat="1" ht="20.100000000000001" customHeight="1" x14ac:dyDescent="0.25">
      <c r="B26" s="31" t="s">
        <v>12</v>
      </c>
      <c r="H26" s="85" t="s">
        <v>73</v>
      </c>
      <c r="I26" s="48" t="s">
        <v>59</v>
      </c>
      <c r="J26" s="123">
        <f>IF(AND(M38&gt;=50,M38&lt;70),ROUNDUP(E13/2,0),0)</f>
        <v>0</v>
      </c>
      <c r="K26" s="124"/>
      <c r="O26" s="24">
        <v>1</v>
      </c>
    </row>
    <row r="27" spans="2:15" s="31" customFormat="1" ht="20.100000000000001" customHeight="1" thickBot="1" x14ac:dyDescent="0.3">
      <c r="H27" s="85" t="s">
        <v>77</v>
      </c>
      <c r="I27" s="48" t="s">
        <v>64</v>
      </c>
      <c r="J27" s="98">
        <f>IF(E17=O42,E10*2-E13,0)</f>
        <v>0</v>
      </c>
      <c r="K27" s="127"/>
      <c r="O27" s="24">
        <v>2</v>
      </c>
    </row>
    <row r="28" spans="2:15" s="31" customFormat="1" ht="20.100000000000001" customHeight="1" thickBot="1" x14ac:dyDescent="0.35">
      <c r="B28" s="50" t="s">
        <v>70</v>
      </c>
      <c r="C28" s="51">
        <f>E14+1</f>
        <v>1</v>
      </c>
      <c r="D28" s="74"/>
      <c r="E28" s="49"/>
      <c r="F28" s="49"/>
      <c r="H28" s="85" t="s">
        <v>78</v>
      </c>
      <c r="I28" s="48" t="s">
        <v>65</v>
      </c>
      <c r="J28" s="98">
        <f>IF(E17=O43,E10*2-E13,0)</f>
        <v>0</v>
      </c>
      <c r="K28" s="127"/>
      <c r="M28" s="75"/>
      <c r="O28" s="24">
        <v>3</v>
      </c>
    </row>
    <row r="29" spans="2:15" s="31" customFormat="1" ht="20.100000000000001" customHeight="1" x14ac:dyDescent="0.3">
      <c r="H29" s="61" t="s">
        <v>55</v>
      </c>
      <c r="I29" s="62" t="s">
        <v>66</v>
      </c>
      <c r="J29" s="128">
        <f>IF(E18=O46,K13*2+K14*2+K15*2+K16*2,0)</f>
        <v>0</v>
      </c>
      <c r="K29" s="129"/>
      <c r="L29" s="76"/>
      <c r="O29" s="24">
        <v>4</v>
      </c>
    </row>
    <row r="30" spans="2:15" ht="20.100000000000001" customHeight="1" thickBot="1" x14ac:dyDescent="0.35">
      <c r="B30" s="31"/>
      <c r="C30" s="31"/>
      <c r="D30" s="31"/>
      <c r="E30" s="31"/>
      <c r="F30" s="31"/>
      <c r="G30" s="31"/>
      <c r="H30" s="66" t="s">
        <v>56</v>
      </c>
      <c r="I30" s="25" t="s">
        <v>67</v>
      </c>
      <c r="J30" s="100">
        <f>IF(E18=O47,ROUNDUP(K12*K6/1000,0),0)</f>
        <v>11</v>
      </c>
      <c r="K30" s="130"/>
      <c r="L30" s="77"/>
    </row>
    <row r="31" spans="2:15" ht="20.100000000000001" customHeight="1" x14ac:dyDescent="0.3">
      <c r="B31" s="52" t="s">
        <v>25</v>
      </c>
      <c r="C31" s="53" t="s">
        <v>26</v>
      </c>
      <c r="D31" s="53" t="s">
        <v>27</v>
      </c>
      <c r="E31" s="54" t="s">
        <v>28</v>
      </c>
      <c r="F31" s="55" t="s">
        <v>71</v>
      </c>
      <c r="G31" s="60">
        <f>IF(D32&lt;&gt;0,1,0)</f>
        <v>1</v>
      </c>
      <c r="H31" s="85" t="s">
        <v>60</v>
      </c>
      <c r="I31" s="48" t="s">
        <v>61</v>
      </c>
      <c r="J31" s="98">
        <f>IF(J30&gt;0,K12*2,0)</f>
        <v>8</v>
      </c>
      <c r="K31" s="127"/>
      <c r="M31" s="31">
        <f>IF(C32=$O$11,((D32*E32*F32/$E$10)/1000000)*8,IF(C32=$O$12,((D32*E32*F32/$E$10)/1000000)*6.5,((D32*E32*F32/$E$10)/1000000)*11))</f>
        <v>18.397500000000001</v>
      </c>
    </row>
    <row r="32" spans="2:15" ht="21" customHeight="1" x14ac:dyDescent="0.3">
      <c r="B32" s="85" t="s">
        <v>29</v>
      </c>
      <c r="C32" s="18" t="s">
        <v>36</v>
      </c>
      <c r="D32" s="19">
        <f>ROUNDDOWN(K6-IF(D36=0,0,IF(C36=O11,D36,IF(C36=O12,D36+2,D36+3)))-
IF(D35=0,0,IF(C35=O11,D35,IF(C35=O12,D35+2,D35+3)))-
IF(D34=0,0,IF(C34=O11,D34,IF(C34=O12,D34+2,D34+3)))-
IF(D33=0,0,IF(C33=O11,D33,IF(C33=O12,D33+2,D33+3)))-11-46-
IF(C32=O12,2,IF(C32=O13,3,0))-E14*IF(E12=O63,9,1.4),0)</f>
        <v>2500</v>
      </c>
      <c r="E32" s="58">
        <f>IF(AND(C32=O11,OR(E9=O55,E9=O58,E9=O59,E9=O60)),K7-36,IF(AND(C32=O11,E9=O56),K7-54,IF(AND(C32=O11,E9=O57),K7-60,
IF(AND(C32=O12,OR(E9=O55,E9=O58,E9=O59,E9=O60)),K7-36-2,IF(AND(C32=O12,E9=O56),K7-54-2,IF(AND(C32=O12,E9=O57),K7-60-2,
IF(AND(C32=O13,OR(E9=O55,E9=O58,E9=O59,E9=O60)),K7-36-3,IF(AND(C32=O13,E9=O56),K7-54-3,IF(AND(C32=O13,E9=O57),K7-60-3,0)))))))))</f>
        <v>669</v>
      </c>
      <c r="F32" s="59">
        <f>$E$10</f>
        <v>2</v>
      </c>
      <c r="G32" s="60">
        <f>IF(D33&lt;&gt;0,1,0)</f>
        <v>0</v>
      </c>
      <c r="H32" s="61" t="s">
        <v>80</v>
      </c>
      <c r="I32" s="62" t="s">
        <v>117</v>
      </c>
      <c r="J32" s="131">
        <f>IF(E18=O48,ROUNDUP(K12*K6/1000,0),0)</f>
        <v>0</v>
      </c>
      <c r="K32" s="132"/>
      <c r="M32" s="31">
        <f>IF(C33=$O$11,((D33*E33*F33/$E$10)/1000000)*8,IF(C33=$O$12,((D33*E33*F33/$E$10)/1000000)*6.5,((D33*E33*F33/$E$10)/1000000)*11))</f>
        <v>0</v>
      </c>
    </row>
    <row r="33" spans="2:15" ht="20.100000000000001" customHeight="1" x14ac:dyDescent="0.3">
      <c r="B33" s="85" t="s">
        <v>30</v>
      </c>
      <c r="C33" s="18" t="s">
        <v>36</v>
      </c>
      <c r="D33" s="20">
        <v>0</v>
      </c>
      <c r="E33" s="58">
        <f>IF(AND(C33=O11,OR(E9=O55,E9=O58,E9=O59,E9=O60)),K7-36,IF(AND(C33=O11,E9=O56),K7-54,IF(AND(C33=O11,E9=O57),K7-60,
IF(AND(C33=O12,OR(E9=O55,E9=O58,E9=O59,E9=O60)),K7-36-2,IF(AND(C33=O12,E9=O56),K7-54-2,IF(AND(C33=O12,E9=O57),K7-60-2,
IF(AND(C33=O13,OR(E9=O55,E9=O58,E9=O59,E9=O60)),K7-36-3,IF(AND(C33=O13,E9=O56),K7-54-3,IF(AND(C33=O13,E9=O57),K7-60-3,0)))))))))</f>
        <v>669</v>
      </c>
      <c r="F33" s="59">
        <f>IF(D33&lt;&gt;0,$E$10,0)</f>
        <v>0</v>
      </c>
      <c r="G33" s="60">
        <f>IF(D34&lt;&gt;0,1,0)</f>
        <v>0</v>
      </c>
      <c r="H33" s="85" t="s">
        <v>9</v>
      </c>
      <c r="I33" s="48" t="s">
        <v>68</v>
      </c>
      <c r="J33" s="100">
        <f>IF(E16=O36,ROUNDUP((J11+40)*2/1000,0),0)</f>
        <v>0</v>
      </c>
      <c r="K33" s="101"/>
      <c r="M33" s="31">
        <f>IF(C34=$O$11,((D34*E34*F34/$E$10)/1000000)*8,IF(C34=$O$12,((D34*E34*F34/$E$10)/1000000)*6.5,((D34*E34*F34/$E$10)/1000000)*11))</f>
        <v>0</v>
      </c>
      <c r="O33" s="23" t="s">
        <v>34</v>
      </c>
    </row>
    <row r="34" spans="2:15" ht="20.100000000000001" customHeight="1" x14ac:dyDescent="0.3">
      <c r="B34" s="85" t="s">
        <v>31</v>
      </c>
      <c r="C34" s="18" t="s">
        <v>36</v>
      </c>
      <c r="D34" s="20">
        <v>0</v>
      </c>
      <c r="E34" s="58">
        <f>IF(AND(C34=O11,OR(E9=O55,E9=O58,E9=O59,E9=O60)),K7-36,IF(AND(C34=O11,E9=O56),K7-54,IF(AND(C34=O11,E9=O57),K7-60,
IF(AND(C34=O12,OR(E9=O55,E9=O58,E9=O59,E9=O60)),K7-36-2,IF(AND(C34=O12,E9=O56),K7-54-2,IF(AND(C34=O12,E9=O57),K7-60-2,
IF(AND(C34=O13,OR(E9=O55,E9=O58,E9=O59,E9=O60)),K7-36-3,IF(AND(C34=O13,E9=O56),K7-54-3,IF(AND(C34=O13,E9=O57),K7-60-3,0)))))))))</f>
        <v>669</v>
      </c>
      <c r="F34" s="59">
        <f>IF(D34&lt;&gt;0,$E$10,0)</f>
        <v>0</v>
      </c>
      <c r="G34" s="60">
        <f>IF(D35&lt;&gt;0,1,0)</f>
        <v>0</v>
      </c>
      <c r="H34" s="85" t="s">
        <v>118</v>
      </c>
      <c r="I34" s="48" t="s">
        <v>37</v>
      </c>
      <c r="J34" s="98">
        <f>K15*2</f>
        <v>0</v>
      </c>
      <c r="K34" s="99"/>
      <c r="M34" s="31">
        <f>IF(C35=$O$11,((D35*E35*F35/$E$10)/1000000)*8,IF(C35=$O$12,((D35*E35*F35/$E$10)/1000000)*6.5,((D35*E35*F35/$E$10)/1000000)*11))</f>
        <v>0</v>
      </c>
      <c r="O34" s="23" t="s">
        <v>36</v>
      </c>
    </row>
    <row r="35" spans="2:15" ht="20.100000000000001" customHeight="1" thickBot="1" x14ac:dyDescent="0.35">
      <c r="B35" s="85" t="s">
        <v>32</v>
      </c>
      <c r="C35" s="18" t="s">
        <v>36</v>
      </c>
      <c r="D35" s="20">
        <v>0</v>
      </c>
      <c r="E35" s="58">
        <f>IF(AND(C35=O11,OR(E9=O55,E9=O58,E9=O59,E9=O60)),K7-36,IF(AND(C35=O11,E9=O56),K7-54,IF(AND(C35=O11,E9=O57),K7-60,
IF(AND(C35=O12,OR(E9=O55,E9=O58,E9=O59,E9=O60)),K7-36-2,IF(AND(C35=O12,E9=O56),K7-54-2,IF(AND(C35=O12,E9=O57),K7-60-2,
IF(AND(C35=O13,OR(E9=O55,E9=O58,E9=O59,E9=O60)),K7-36-3,IF(AND(C35=O13,E9=O56),K7-54-3,IF(AND(C35=O13,E9=O57),K7-60-3,0)))))))))</f>
        <v>669</v>
      </c>
      <c r="F35" s="59">
        <f>IF(D35&lt;&gt;0,$E$10,0)</f>
        <v>0</v>
      </c>
      <c r="G35" s="60">
        <f>IF(D36&lt;&gt;0,1,0)</f>
        <v>0</v>
      </c>
      <c r="H35" s="85" t="s">
        <v>120</v>
      </c>
      <c r="I35" s="48" t="s">
        <v>121</v>
      </c>
      <c r="J35" s="98">
        <f>IF(AND(E20=O36,E9=O57),E11,0)</f>
        <v>0</v>
      </c>
      <c r="K35" s="99"/>
      <c r="M35" s="31">
        <f>IF(C36=$O$11,((D36*E36*F36/$E$10)/1000000)*8,IF(C36=$O$12,((D36*E36*F36/$E$10)/1000000)*6.5,((D36*E36*F36/$E$10)/1000000)*11))</f>
        <v>0</v>
      </c>
    </row>
    <row r="36" spans="2:15" ht="20.100000000000001" customHeight="1" thickBot="1" x14ac:dyDescent="0.35">
      <c r="B36" s="63" t="s">
        <v>33</v>
      </c>
      <c r="C36" s="21" t="s">
        <v>36</v>
      </c>
      <c r="D36" s="22">
        <v>0</v>
      </c>
      <c r="E36" s="64">
        <f>IF(AND(C36=O11,OR(E9=O55,E9=O58,E9=O59,E9=O60)),K7-36,IF(AND(C36=O11,E9=O56),K7-54,IF(AND(C36=O11,E9=O57),K7-60,
IF(AND(C36=O12,OR(E9=O55,E9=O58,E9=O59,E9=O60)),K7-36-2,IF(AND(C36=O12,E9=O56),K7-54-2,IF(AND(C36=O12,E9=O57),K7-60-2,
IF(AND(C36=O13,OR(E9=O55,E9=O58,E9=O59,E9=O60)),K7-36-3,IF(AND(C36=O13,E9=O56),K7-54-3,IF(AND(C36=O13,E9=O57),K7-60-3,0)))))))))</f>
        <v>669</v>
      </c>
      <c r="F36" s="65">
        <f>IF(D36&lt;&gt;0,$E$10,0)</f>
        <v>0</v>
      </c>
      <c r="G36" s="31"/>
      <c r="H36" s="85" t="s">
        <v>119</v>
      </c>
      <c r="I36" s="48" t="s">
        <v>122</v>
      </c>
      <c r="J36" s="98">
        <f>IF(AND(E21=O36,OR(E9=O55,E9=O58,E9=O59,E9=O60)),E11,0)</f>
        <v>0</v>
      </c>
      <c r="K36" s="99"/>
      <c r="M36" s="46">
        <f>SUM(M31:M35)</f>
        <v>18.397500000000001</v>
      </c>
      <c r="O36" s="30" t="s">
        <v>50</v>
      </c>
    </row>
    <row r="37" spans="2:15" ht="19.5" thickBot="1" x14ac:dyDescent="0.35">
      <c r="B37" s="31"/>
      <c r="C37" s="31"/>
      <c r="D37" s="31"/>
      <c r="E37" s="31"/>
      <c r="F37" s="31"/>
      <c r="G37" s="31"/>
      <c r="H37" s="44" t="s">
        <v>62</v>
      </c>
      <c r="I37" s="68" t="s">
        <v>63</v>
      </c>
      <c r="J37" s="119">
        <f>IF(E22=O36,E11,0)</f>
        <v>0</v>
      </c>
      <c r="K37" s="120"/>
      <c r="M37" s="31"/>
      <c r="O37" s="31" t="s">
        <v>51</v>
      </c>
    </row>
    <row r="38" spans="2:15" ht="19.5" thickBot="1" x14ac:dyDescent="0.35">
      <c r="B38" s="31"/>
      <c r="C38" s="28" t="str">
        <f>IF((SUM(G31:G35)/C28)&lt;&gt;1,O17,O18)</f>
        <v>Верно внесены высоты вставок</v>
      </c>
      <c r="D38" s="87">
        <f>IF(C38=O18,1,0)</f>
        <v>1</v>
      </c>
      <c r="E38" s="31"/>
      <c r="F38" s="31"/>
      <c r="G38" s="31"/>
      <c r="H38" s="78"/>
      <c r="L38" s="56" t="s">
        <v>72</v>
      </c>
      <c r="M38" s="57">
        <f>(M36+M23)*1.05</f>
        <v>22.576236900000005</v>
      </c>
    </row>
    <row r="39" spans="2:15" x14ac:dyDescent="0.3">
      <c r="B39" s="31"/>
      <c r="C39" s="31"/>
      <c r="D39" s="31"/>
      <c r="E39" s="31"/>
      <c r="F39" s="31"/>
      <c r="G39" s="31"/>
      <c r="H39" s="30" t="s">
        <v>75</v>
      </c>
      <c r="K39" s="79" t="s">
        <v>15</v>
      </c>
    </row>
    <row r="40" spans="2:15" x14ac:dyDescent="0.3">
      <c r="B40" s="31"/>
      <c r="C40" s="96" t="str">
        <f>IF(AND(SUM(G31:G35)/C28=1,D36=0,C28&lt;&gt;1),O21,O22)</f>
        <v xml:space="preserve"> </v>
      </c>
      <c r="D40" s="96"/>
      <c r="E40" s="31"/>
      <c r="F40" s="31"/>
      <c r="G40" s="31"/>
    </row>
    <row r="41" spans="2:15" ht="19.5" thickBot="1" x14ac:dyDescent="0.35">
      <c r="B41" s="31"/>
      <c r="C41" s="31"/>
      <c r="D41" s="31"/>
      <c r="E41" s="31"/>
      <c r="F41" s="31"/>
      <c r="G41" s="31"/>
      <c r="O41" s="30" t="s">
        <v>51</v>
      </c>
    </row>
    <row r="42" spans="2:15" ht="19.5" thickBot="1" x14ac:dyDescent="0.35">
      <c r="B42" s="31"/>
      <c r="D42" s="67"/>
      <c r="E42" s="69" t="s">
        <v>74</v>
      </c>
      <c r="F42" s="70">
        <f>ROUNDUP(M38,0)</f>
        <v>23</v>
      </c>
      <c r="G42" s="31"/>
      <c r="O42" s="30" t="s">
        <v>52</v>
      </c>
    </row>
    <row r="43" spans="2:15" x14ac:dyDescent="0.3">
      <c r="B43" s="31"/>
      <c r="C43" s="31"/>
      <c r="D43" s="31"/>
      <c r="E43" s="30"/>
      <c r="F43" s="30"/>
      <c r="G43" s="31"/>
      <c r="O43" s="30" t="s">
        <v>53</v>
      </c>
    </row>
    <row r="44" spans="2:15" x14ac:dyDescent="0.3">
      <c r="B44" s="31"/>
      <c r="E44" s="31"/>
      <c r="F44" s="31"/>
      <c r="G44" s="31"/>
    </row>
    <row r="45" spans="2:15" x14ac:dyDescent="0.3">
      <c r="G45" s="31"/>
    </row>
    <row r="46" spans="2:15" x14ac:dyDescent="0.3">
      <c r="G46" s="31"/>
      <c r="O46" s="26" t="s">
        <v>55</v>
      </c>
    </row>
    <row r="47" spans="2:15" x14ac:dyDescent="0.3">
      <c r="G47" s="31"/>
      <c r="O47" s="27" t="s">
        <v>56</v>
      </c>
    </row>
    <row r="48" spans="2:15" x14ac:dyDescent="0.3">
      <c r="G48" s="31"/>
      <c r="O48" s="26" t="s">
        <v>80</v>
      </c>
    </row>
    <row r="50" spans="15:16" x14ac:dyDescent="0.3">
      <c r="O50" s="30" t="s">
        <v>69</v>
      </c>
    </row>
    <row r="51" spans="15:16" x14ac:dyDescent="0.3">
      <c r="O51" s="30" t="s">
        <v>13</v>
      </c>
    </row>
    <row r="55" spans="15:16" x14ac:dyDescent="0.3">
      <c r="O55" s="30" t="s">
        <v>81</v>
      </c>
      <c r="P55" s="30">
        <f>ROUNDUP(IF(AND(OR(E18=O48,E18=O47),E8=O6),(E7-20+E11*25)/E10,
IF(AND(OR(E18=O48,E18=O47),E8&lt;&gt;O6),(E7-10+E11*25)/E10,(E7+E11*25)/E10)),0)</f>
        <v>708</v>
      </c>
    </row>
    <row r="56" spans="15:16" x14ac:dyDescent="0.3">
      <c r="O56" s="30" t="s">
        <v>82</v>
      </c>
      <c r="P56" s="30">
        <f>ROUNDUP(IF(AND(OR(E18=O48,E18=O47),E8=O6),(E7-20+E11*35)/E10,
IF(AND(OR(E18=O48,E18=O47),E8&lt;&gt;O6),(E7-10+E11*35)/E10,(E7+E11*35)/E10)),0)</f>
        <v>713</v>
      </c>
    </row>
    <row r="57" spans="15:16" x14ac:dyDescent="0.3">
      <c r="O57" s="30" t="s">
        <v>83</v>
      </c>
      <c r="P57" s="30">
        <f>ROUNDUP(IF(AND(OR(E18=O48,E18=O47),E8=O6),(E7-20+E11*39)/E10,
IF(AND(OR(E18=O48,E18=O47),E8&lt;&gt;O6),(E7-10+E11*39)/E10,(E7+E11*39)/E10)),0)</f>
        <v>715</v>
      </c>
    </row>
    <row r="58" spans="15:16" x14ac:dyDescent="0.3">
      <c r="O58" s="30" t="s">
        <v>84</v>
      </c>
      <c r="P58" s="30">
        <f>ROUNDUP(IF(AND(OR(E18=O48,E18=O47),E8=O6),(E7-20+E11*45)/E10,
IF(AND(OR(E18=O48,E18=O47),E8&lt;&gt;O6),(E7-10+E11*45)/E10,(E7+E11*45)/E10)),0)</f>
        <v>718</v>
      </c>
    </row>
    <row r="59" spans="15:16" x14ac:dyDescent="0.3">
      <c r="O59" s="30" t="s">
        <v>85</v>
      </c>
      <c r="P59" s="30">
        <f>ROUNDUP(IF(AND(OR(E18=O48,E18=O47),E8=O6),(E7-20+E11*25)/E10,
IF(AND(OR(E18=O48,E18=O47),E8&lt;&gt;O6),(E7-10+E11*25)/E10,(E7+E11*25)/E10)),0)</f>
        <v>708</v>
      </c>
    </row>
    <row r="60" spans="15:16" x14ac:dyDescent="0.3">
      <c r="O60" s="30" t="s">
        <v>86</v>
      </c>
      <c r="P60" s="30">
        <f>ROUNDUP(IF(AND(OR(E18=O48,E18=O47),E8=O6),(E7-20+E11*25)/E10,
IF(AND(OR(E18=O48,E18=O47),E8&lt;&gt;O6),(E7-10+E11*25)/E10,(E7+E11*25)/E10)),0)</f>
        <v>708</v>
      </c>
    </row>
    <row r="63" spans="15:16" x14ac:dyDescent="0.3">
      <c r="O63" s="30" t="s">
        <v>87</v>
      </c>
    </row>
    <row r="64" spans="15:16" x14ac:dyDescent="0.3">
      <c r="O64" s="30" t="s">
        <v>88</v>
      </c>
    </row>
    <row r="69" spans="15:16" x14ac:dyDescent="0.3">
      <c r="O69" s="30" t="s">
        <v>92</v>
      </c>
      <c r="P69" s="30" t="s">
        <v>102</v>
      </c>
    </row>
    <row r="70" spans="15:16" x14ac:dyDescent="0.3">
      <c r="O70" s="30" t="s">
        <v>93</v>
      </c>
      <c r="P70" s="30" t="s">
        <v>103</v>
      </c>
    </row>
    <row r="71" spans="15:16" x14ac:dyDescent="0.3">
      <c r="O71" s="30" t="s">
        <v>94</v>
      </c>
      <c r="P71" s="30" t="s">
        <v>104</v>
      </c>
    </row>
    <row r="72" spans="15:16" x14ac:dyDescent="0.3">
      <c r="O72" s="30" t="s">
        <v>95</v>
      </c>
      <c r="P72" s="30" t="s">
        <v>105</v>
      </c>
    </row>
    <row r="73" spans="15:16" x14ac:dyDescent="0.3">
      <c r="O73" s="30" t="s">
        <v>96</v>
      </c>
      <c r="P73" s="30" t="s">
        <v>106</v>
      </c>
    </row>
    <row r="74" spans="15:16" x14ac:dyDescent="0.3">
      <c r="O74" s="30" t="s">
        <v>97</v>
      </c>
      <c r="P74" s="30" t="s">
        <v>107</v>
      </c>
    </row>
  </sheetData>
  <sheetProtection algorithmName="SHA-512" hashValue="9cUVrVkuPDVMcGRQxqgD7zYqaC0k8pbQrWaPsbqqB+EYhNvxpC/qSePQbYMJ18SmmViuTR+VueSEQKNkaTeRGQ==" saltValue="weh8nto70sM8eA9S0gFWgw==" spinCount="100000" sheet="1" selectLockedCells="1"/>
  <mergeCells count="58">
    <mergeCell ref="B15:D15"/>
    <mergeCell ref="E15:F15"/>
    <mergeCell ref="B16:D16"/>
    <mergeCell ref="B17:D17"/>
    <mergeCell ref="E19:F19"/>
    <mergeCell ref="B19:D19"/>
    <mergeCell ref="E16:F16"/>
    <mergeCell ref="E17:F17"/>
    <mergeCell ref="E18:F18"/>
    <mergeCell ref="B18:D18"/>
    <mergeCell ref="J21:K21"/>
    <mergeCell ref="B6:D6"/>
    <mergeCell ref="B7:D7"/>
    <mergeCell ref="B8:D8"/>
    <mergeCell ref="B10:D10"/>
    <mergeCell ref="B11:D11"/>
    <mergeCell ref="E9:F9"/>
    <mergeCell ref="B9:D9"/>
    <mergeCell ref="B12:D12"/>
    <mergeCell ref="B20:D20"/>
    <mergeCell ref="E20:F20"/>
    <mergeCell ref="E12:F12"/>
    <mergeCell ref="B21:D21"/>
    <mergeCell ref="E21:F21"/>
    <mergeCell ref="B13:D13"/>
    <mergeCell ref="B14:D14"/>
    <mergeCell ref="J37:K37"/>
    <mergeCell ref="J19:K19"/>
    <mergeCell ref="J20:K20"/>
    <mergeCell ref="J22:K22"/>
    <mergeCell ref="J23:K23"/>
    <mergeCell ref="J24:K24"/>
    <mergeCell ref="J25:K25"/>
    <mergeCell ref="J26:K26"/>
    <mergeCell ref="J27:K27"/>
    <mergeCell ref="J29:K29"/>
    <mergeCell ref="J34:K34"/>
    <mergeCell ref="J28:K28"/>
    <mergeCell ref="J30:K30"/>
    <mergeCell ref="J35:K35"/>
    <mergeCell ref="J32:K32"/>
    <mergeCell ref="J31:K31"/>
    <mergeCell ref="C40:D40"/>
    <mergeCell ref="B2:K2"/>
    <mergeCell ref="J36:K36"/>
    <mergeCell ref="J33:K33"/>
    <mergeCell ref="B4:E4"/>
    <mergeCell ref="H4:K4"/>
    <mergeCell ref="H6:I7"/>
    <mergeCell ref="E22:F22"/>
    <mergeCell ref="B22:D22"/>
    <mergeCell ref="E6:F6"/>
    <mergeCell ref="E7:F7"/>
    <mergeCell ref="E8:F8"/>
    <mergeCell ref="E10:F10"/>
    <mergeCell ref="E11:F11"/>
    <mergeCell ref="E13:F13"/>
    <mergeCell ref="E14:F14"/>
  </mergeCells>
  <conditionalFormatting sqref="C38">
    <cfRule type="expression" dxfId="10" priority="28">
      <formula>$C$38=$O$17</formula>
    </cfRule>
    <cfRule type="expression" dxfId="9" priority="29">
      <formula>$C$38=$O$18</formula>
    </cfRule>
  </conditionalFormatting>
  <conditionalFormatting sqref="C40">
    <cfRule type="expression" dxfId="8" priority="30">
      <formula>$C$40=$O$21</formula>
    </cfRule>
  </conditionalFormatting>
  <conditionalFormatting sqref="E20:F20">
    <cfRule type="expression" dxfId="7" priority="9">
      <formula>AND($E$9&lt;&gt;$O$57,$E$20=$O$36)</formula>
    </cfRule>
  </conditionalFormatting>
  <conditionalFormatting sqref="E21:F21">
    <cfRule type="expression" dxfId="6" priority="8">
      <formula>AND(OR($E$9=$O$56,$E$9=$O$57),$E$21=$O$36)</formula>
    </cfRule>
  </conditionalFormatting>
  <dataValidations count="11">
    <dataValidation type="whole" allowBlank="1" showInputMessage="1" showErrorMessage="1" sqref="E11">
      <formula1>1</formula1>
      <formula2>4</formula2>
    </dataValidation>
    <dataValidation type="whole" allowBlank="1" showInputMessage="1" showErrorMessage="1" sqref="E10">
      <formula1>1</formula1>
      <formula2>5</formula2>
    </dataValidation>
    <dataValidation type="list" operator="greaterThan" allowBlank="1" showInputMessage="1" showErrorMessage="1" sqref="E14">
      <formula1>$O$25:$O$29</formula1>
    </dataValidation>
    <dataValidation type="list" allowBlank="1" showInputMessage="1" showErrorMessage="1" sqref="E8">
      <formula1>$O$3:$O$7</formula1>
    </dataValidation>
    <dataValidation type="list" allowBlank="1" showInputMessage="1" showErrorMessage="1" sqref="C32:C36">
      <formula1>$O$11:$O$13</formula1>
    </dataValidation>
    <dataValidation type="list" allowBlank="1" showInputMessage="1" showErrorMessage="1" sqref="E17">
      <formula1>$O$41:$O$43</formula1>
    </dataValidation>
    <dataValidation type="list" allowBlank="1" showInputMessage="1" showErrorMessage="1" sqref="E16 E19:E22 E15:F15">
      <formula1>$O$36:$O$37</formula1>
    </dataValidation>
    <dataValidation type="list" allowBlank="1" showInputMessage="1" showErrorMessage="1" sqref="E18:F18">
      <formula1>$O$46:$O$48</formula1>
    </dataValidation>
    <dataValidation type="list" allowBlank="1" showInputMessage="1" showErrorMessage="1" sqref="E9:F9">
      <formula1>$O$55:$O$60</formula1>
    </dataValidation>
    <dataValidation type="whole" allowBlank="1" showInputMessage="1" showErrorMessage="1" errorTitle="Неверное количество" error="Не более двух доводчиков на одну дверь." sqref="E13">
      <formula1>0</formula1>
      <formula2>E10*2</formula2>
    </dataValidation>
    <dataValidation type="list" allowBlank="1" showInputMessage="1" showErrorMessage="1" sqref="E12:F12">
      <formula1>$O$63:$O$64</formula1>
    </dataValidation>
  </dataValidations>
  <hyperlinks>
    <hyperlink ref="K39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P74"/>
  <sheetViews>
    <sheetView zoomScale="70" zoomScaleNormal="70" workbookViewId="0">
      <selection activeCell="E6" sqref="E6:F6"/>
    </sheetView>
  </sheetViews>
  <sheetFormatPr defaultColWidth="9.140625" defaultRowHeight="18.75" x14ac:dyDescent="0.3"/>
  <cols>
    <col min="1" max="1" width="3" style="30" customWidth="1"/>
    <col min="2" max="2" width="43.42578125" style="30" customWidth="1"/>
    <col min="3" max="3" width="41.7109375" style="30" customWidth="1"/>
    <col min="4" max="6" width="14.7109375" style="87" customWidth="1"/>
    <col min="7" max="7" width="2.7109375" style="30" customWidth="1"/>
    <col min="8" max="8" width="80.28515625" style="30" customWidth="1"/>
    <col min="9" max="9" width="17.140625" style="30" customWidth="1"/>
    <col min="10" max="10" width="16.7109375" style="30" customWidth="1"/>
    <col min="11" max="11" width="13.42578125" style="30" customWidth="1"/>
    <col min="12" max="12" width="15.140625" style="30" hidden="1" customWidth="1"/>
    <col min="13" max="13" width="13.28515625" style="30" hidden="1" customWidth="1"/>
    <col min="14" max="14" width="9.140625" style="30" hidden="1" customWidth="1"/>
    <col min="15" max="15" width="37.85546875" style="30" hidden="1" customWidth="1"/>
    <col min="16" max="16" width="9.42578125" style="30" hidden="1" customWidth="1"/>
    <col min="17" max="16384" width="9.140625" style="30"/>
  </cols>
  <sheetData>
    <row r="1" spans="2:15" x14ac:dyDescent="0.3">
      <c r="B1" s="29"/>
      <c r="C1" s="29"/>
    </row>
    <row r="2" spans="2:15" s="31" customFormat="1" ht="27.6" customHeight="1" x14ac:dyDescent="0.25">
      <c r="B2" s="97" t="s">
        <v>125</v>
      </c>
      <c r="C2" s="97"/>
      <c r="D2" s="97"/>
      <c r="E2" s="97"/>
      <c r="F2" s="97"/>
      <c r="G2" s="97"/>
      <c r="H2" s="97"/>
      <c r="I2" s="97"/>
      <c r="J2" s="97"/>
      <c r="K2" s="97"/>
    </row>
    <row r="3" spans="2:15" s="32" customFormat="1" ht="20.100000000000001" customHeight="1" x14ac:dyDescent="0.3">
      <c r="B3" s="33"/>
      <c r="C3" s="33"/>
      <c r="D3" s="33"/>
      <c r="E3" s="33"/>
      <c r="F3" s="33"/>
      <c r="H3" s="34"/>
      <c r="I3" s="34"/>
      <c r="J3" s="34"/>
      <c r="K3" s="34"/>
      <c r="O3" s="35" t="s">
        <v>127</v>
      </c>
    </row>
    <row r="4" spans="2:15" s="32" customFormat="1" ht="20.100000000000001" customHeight="1" x14ac:dyDescent="0.25">
      <c r="B4" s="102" t="s">
        <v>11</v>
      </c>
      <c r="C4" s="102"/>
      <c r="D4" s="102"/>
      <c r="E4" s="102"/>
      <c r="F4" s="102"/>
      <c r="H4" s="102" t="s">
        <v>10</v>
      </c>
      <c r="I4" s="102"/>
      <c r="J4" s="102"/>
      <c r="K4" s="102"/>
      <c r="O4" s="35" t="s">
        <v>126</v>
      </c>
    </row>
    <row r="5" spans="2:15" s="31" customFormat="1" ht="20.100000000000001" customHeight="1" thickBot="1" x14ac:dyDescent="0.3">
      <c r="B5" s="36"/>
      <c r="C5" s="36"/>
      <c r="D5" s="36"/>
      <c r="E5" s="36"/>
      <c r="F5" s="36"/>
      <c r="G5" s="32"/>
      <c r="H5" s="36"/>
      <c r="I5" s="36"/>
      <c r="J5" s="36"/>
      <c r="K5" s="36"/>
      <c r="O5" s="35"/>
    </row>
    <row r="6" spans="2:15" s="31" customFormat="1" ht="20.100000000000001" customHeight="1" x14ac:dyDescent="0.25">
      <c r="B6" s="133" t="s">
        <v>0</v>
      </c>
      <c r="C6" s="134"/>
      <c r="D6" s="134"/>
      <c r="E6" s="111">
        <v>2600</v>
      </c>
      <c r="F6" s="112"/>
      <c r="H6" s="103" t="s">
        <v>7</v>
      </c>
      <c r="I6" s="104"/>
      <c r="J6" s="37" t="s">
        <v>5</v>
      </c>
      <c r="K6" s="1">
        <f>E6-30</f>
        <v>2570</v>
      </c>
      <c r="O6" s="35"/>
    </row>
    <row r="7" spans="2:15" s="31" customFormat="1" ht="20.100000000000001" customHeight="1" thickBot="1" x14ac:dyDescent="0.3">
      <c r="B7" s="135" t="s">
        <v>14</v>
      </c>
      <c r="C7" s="136"/>
      <c r="D7" s="136"/>
      <c r="E7" s="113">
        <v>500</v>
      </c>
      <c r="F7" s="114"/>
      <c r="H7" s="105"/>
      <c r="I7" s="106"/>
      <c r="J7" s="38" t="s">
        <v>6</v>
      </c>
      <c r="K7" s="2">
        <f>IF(E9=O55,P55,IF(E9=O56,P56,IF(E9=O57,P57,IF(E9=O58,P58,IF(E9=O59,P59,IF(E9=O60,P60,0))))))</f>
        <v>490</v>
      </c>
      <c r="O7" s="35"/>
    </row>
    <row r="8" spans="2:15" s="31" customFormat="1" ht="20.100000000000001" customHeight="1" thickBot="1" x14ac:dyDescent="0.3">
      <c r="B8" s="137" t="s">
        <v>24</v>
      </c>
      <c r="C8" s="138"/>
      <c r="D8" s="138"/>
      <c r="E8" s="113" t="s">
        <v>127</v>
      </c>
      <c r="F8" s="114"/>
      <c r="H8" s="39"/>
      <c r="I8" s="39"/>
      <c r="J8" s="40"/>
      <c r="K8" s="3"/>
    </row>
    <row r="9" spans="2:15" s="31" customFormat="1" ht="20.100000000000001" customHeight="1" x14ac:dyDescent="0.25">
      <c r="B9" s="141" t="s">
        <v>79</v>
      </c>
      <c r="C9" s="142"/>
      <c r="D9" s="142"/>
      <c r="E9" s="139" t="s">
        <v>81</v>
      </c>
      <c r="F9" s="140"/>
      <c r="H9" s="41" t="s">
        <v>2</v>
      </c>
      <c r="I9" s="73" t="s">
        <v>23</v>
      </c>
      <c r="J9" s="37" t="s">
        <v>3</v>
      </c>
      <c r="K9" s="42" t="s">
        <v>4</v>
      </c>
      <c r="L9" s="71"/>
    </row>
    <row r="10" spans="2:15" s="31" customFormat="1" ht="20.100000000000001" customHeight="1" x14ac:dyDescent="0.3">
      <c r="B10" s="137" t="s">
        <v>1</v>
      </c>
      <c r="C10" s="138"/>
      <c r="D10" s="138"/>
      <c r="E10" s="115">
        <f>IF(E8=O3,1,2)</f>
        <v>1</v>
      </c>
      <c r="F10" s="116"/>
      <c r="H10" s="82" t="s">
        <v>132</v>
      </c>
      <c r="I10" s="80" t="s">
        <v>133</v>
      </c>
      <c r="J10" s="81">
        <f>E7-2</f>
        <v>498</v>
      </c>
      <c r="K10" s="83">
        <v>2</v>
      </c>
      <c r="L10" s="90">
        <v>0.16500000000000001</v>
      </c>
      <c r="M10" s="31">
        <f>L10*J10*K10/1000</f>
        <v>0.16434000000000001</v>
      </c>
    </row>
    <row r="11" spans="2:15" s="31" customFormat="1" ht="20.100000000000001" customHeight="1" x14ac:dyDescent="0.3">
      <c r="B11" s="141" t="s">
        <v>89</v>
      </c>
      <c r="C11" s="142"/>
      <c r="D11" s="142"/>
      <c r="E11" s="139" t="s">
        <v>87</v>
      </c>
      <c r="F11" s="140"/>
      <c r="H11" s="91" t="str">
        <f>IF(E9=O55,O69,IF(E9=O56,O70,IF(E9=O57,O71,IF(E9=O58,O72,IF(E9=O59,O73,O74)))))</f>
        <v>Вертикальный профиль C</v>
      </c>
      <c r="I11" s="43" t="str">
        <f>IF(E9=O55,P69,IF(E9=O56,P70,IF(E9=O57,P71,IF(E9=O58,P72,IF(E9=O59,P73,P74)))))</f>
        <v>CKRU0010B</v>
      </c>
      <c r="J11" s="4">
        <f>$K$6</f>
        <v>2570</v>
      </c>
      <c r="K11" s="5">
        <f>IF(J11&gt;0,$E$10*2,0)</f>
        <v>2</v>
      </c>
      <c r="L11" s="30">
        <v>0.51200000000000001</v>
      </c>
      <c r="M11" s="92">
        <f>IF(H11=O69,J11*K11*L11/1000,0)</f>
        <v>2.6316799999999998</v>
      </c>
      <c r="O11" s="23" t="s">
        <v>34</v>
      </c>
    </row>
    <row r="12" spans="2:15" s="31" customFormat="1" ht="20.100000000000001" customHeight="1" x14ac:dyDescent="0.3">
      <c r="B12" s="143" t="s">
        <v>16</v>
      </c>
      <c r="C12" s="144"/>
      <c r="D12" s="144"/>
      <c r="E12" s="117">
        <v>0</v>
      </c>
      <c r="F12" s="118"/>
      <c r="H12" s="91" t="s">
        <v>98</v>
      </c>
      <c r="I12" s="43" t="s">
        <v>110</v>
      </c>
      <c r="J12" s="4">
        <f>IF(OR(E9=O55,E9=O58,E9=O59,E9=O60),K7-51,IF(E9=O56,K7-68,K7-76))</f>
        <v>439</v>
      </c>
      <c r="K12" s="5">
        <f>E10</f>
        <v>1</v>
      </c>
      <c r="L12" s="30">
        <v>0.495</v>
      </c>
      <c r="M12" s="92">
        <f>IF(H11=O70,J11*K11*L11/1000,0)</f>
        <v>0</v>
      </c>
      <c r="O12" s="23" t="s">
        <v>35</v>
      </c>
    </row>
    <row r="13" spans="2:15" s="31" customFormat="1" ht="20.100000000000001" customHeight="1" x14ac:dyDescent="0.3">
      <c r="B13" s="147" t="s">
        <v>137</v>
      </c>
      <c r="C13" s="148"/>
      <c r="D13" s="148"/>
      <c r="E13" s="145" t="s">
        <v>56</v>
      </c>
      <c r="F13" s="146"/>
      <c r="H13" s="91" t="s">
        <v>99</v>
      </c>
      <c r="I13" s="43" t="s">
        <v>111</v>
      </c>
      <c r="J13" s="4">
        <f>J12</f>
        <v>439</v>
      </c>
      <c r="K13" s="5">
        <f>E10</f>
        <v>1</v>
      </c>
      <c r="L13" s="30">
        <v>0.69</v>
      </c>
      <c r="M13" s="92">
        <f>IF(H11=O71,J11*K11*L11/1000,0)</f>
        <v>0</v>
      </c>
      <c r="O13" s="23" t="s">
        <v>36</v>
      </c>
    </row>
    <row r="14" spans="2:15" s="31" customFormat="1" ht="20.100000000000001" customHeight="1" thickBot="1" x14ac:dyDescent="0.35">
      <c r="B14" s="151" t="s">
        <v>134</v>
      </c>
      <c r="C14" s="152"/>
      <c r="D14" s="152"/>
      <c r="E14" s="153" t="s">
        <v>136</v>
      </c>
      <c r="F14" s="154"/>
      <c r="H14" s="91" t="s">
        <v>100</v>
      </c>
      <c r="I14" s="43" t="s">
        <v>112</v>
      </c>
      <c r="J14" s="4">
        <f>J12</f>
        <v>439</v>
      </c>
      <c r="K14" s="5">
        <f>IF(E11=O63,E10*E12,0)</f>
        <v>0</v>
      </c>
      <c r="L14" s="30">
        <v>0.53400000000000003</v>
      </c>
      <c r="M14" s="92">
        <f>IF(H11=O72,J11*K11*L11/1000,0)</f>
        <v>0</v>
      </c>
    </row>
    <row r="15" spans="2:15" s="31" customFormat="1" ht="20.100000000000001" customHeight="1" thickBot="1" x14ac:dyDescent="0.3">
      <c r="H15" s="44" t="s">
        <v>101</v>
      </c>
      <c r="I15" s="45" t="s">
        <v>113</v>
      </c>
      <c r="J15" s="6">
        <f>J12</f>
        <v>439</v>
      </c>
      <c r="K15" s="7">
        <f>IF(E11=O64,E10*E12,0)</f>
        <v>0</v>
      </c>
      <c r="L15" s="31">
        <v>0.36299999999999999</v>
      </c>
      <c r="M15" s="92">
        <f>IF(H11=O73,J11*K11*L11/1000,0)</f>
        <v>0</v>
      </c>
    </row>
    <row r="16" spans="2:15" s="31" customFormat="1" ht="20.100000000000001" customHeight="1" thickBot="1" x14ac:dyDescent="0.3">
      <c r="B16" s="31" t="s">
        <v>90</v>
      </c>
      <c r="H16" s="71"/>
      <c r="I16" s="93"/>
      <c r="J16" s="94"/>
      <c r="K16" s="95"/>
      <c r="L16" s="31">
        <v>0.36199999999999999</v>
      </c>
      <c r="M16" s="92">
        <f>IF(H11=O74,J11*K11*L11/1000,0)</f>
        <v>0</v>
      </c>
    </row>
    <row r="17" spans="2:15" s="31" customFormat="1" ht="20.100000000000001" customHeight="1" x14ac:dyDescent="0.25">
      <c r="B17" s="31" t="s">
        <v>138</v>
      </c>
      <c r="H17" s="47" t="s">
        <v>8</v>
      </c>
      <c r="I17" s="73" t="s">
        <v>23</v>
      </c>
      <c r="J17" s="121" t="s">
        <v>4</v>
      </c>
      <c r="K17" s="122"/>
      <c r="L17" s="31">
        <v>0.24099999999999999</v>
      </c>
      <c r="M17" s="31">
        <f>L17*J12*K12/1000</f>
        <v>0.10579899999999999</v>
      </c>
      <c r="O17" s="31" t="s">
        <v>43</v>
      </c>
    </row>
    <row r="18" spans="2:15" s="31" customFormat="1" ht="20.100000000000001" customHeight="1" x14ac:dyDescent="0.25">
      <c r="H18" s="85" t="s">
        <v>128</v>
      </c>
      <c r="I18" s="48" t="s">
        <v>129</v>
      </c>
      <c r="J18" s="123">
        <f>E10</f>
        <v>1</v>
      </c>
      <c r="K18" s="124"/>
      <c r="L18" s="31">
        <v>0.49300000000000005</v>
      </c>
      <c r="M18" s="31">
        <f>L18*J13*K13/1000</f>
        <v>0.21642700000000001</v>
      </c>
      <c r="O18" s="31" t="s">
        <v>44</v>
      </c>
    </row>
    <row r="19" spans="2:15" s="31" customFormat="1" ht="20.100000000000001" customHeight="1" x14ac:dyDescent="0.25">
      <c r="B19" s="31" t="s">
        <v>12</v>
      </c>
      <c r="H19" s="85" t="s">
        <v>48</v>
      </c>
      <c r="I19" s="28" t="s">
        <v>46</v>
      </c>
      <c r="J19" s="125">
        <f>ROUNDUP((IF(C25=O12,(D25+E25)*2*F25,0)
+IF(C26=O12,(D26+E26)*2*F26,0)
+IF(C27=O12,(D27+E27)*2*F27,0)
+IF(C28=O12,(D28+E28)*2*F28,0)
+IF(C29=O12,(D29+E29)*2*F29,0))/1000,0)</f>
        <v>0</v>
      </c>
      <c r="K19" s="126"/>
      <c r="L19" s="31">
        <v>0.33600000000000002</v>
      </c>
      <c r="M19" s="31">
        <f>L19*J14*K14/1000</f>
        <v>0</v>
      </c>
    </row>
    <row r="20" spans="2:15" s="31" customFormat="1" ht="20.100000000000001" customHeight="1" thickBot="1" x14ac:dyDescent="0.3">
      <c r="H20" s="85" t="s">
        <v>49</v>
      </c>
      <c r="I20" s="28" t="s">
        <v>47</v>
      </c>
      <c r="J20" s="125">
        <f>ROUNDUP((IF(C25=O13,(D25+E25)*2*F25,0)
+IF(C26=O13,(D26+E26)*2*F26,0)
+IF(C27=O13,(D27+E27)*2*F27,0)
+IF(C28=O13,(D28+E28)*2*F28,0)
+IF(C29=O13,(D29+E29)*2*F29,0))/1000,0)</f>
        <v>6</v>
      </c>
      <c r="K20" s="126"/>
      <c r="L20" s="31">
        <v>0.17199999999999999</v>
      </c>
      <c r="M20" s="31">
        <f>L20*J15*K15/1000</f>
        <v>0</v>
      </c>
    </row>
    <row r="21" spans="2:15" s="31" customFormat="1" ht="20.100000000000001" customHeight="1" thickBot="1" x14ac:dyDescent="0.35">
      <c r="B21" s="50" t="s">
        <v>70</v>
      </c>
      <c r="C21" s="51">
        <f>E12+1</f>
        <v>1</v>
      </c>
      <c r="D21" s="74"/>
      <c r="E21" s="49"/>
      <c r="F21" s="49"/>
      <c r="H21" s="85" t="s">
        <v>55</v>
      </c>
      <c r="I21" s="28" t="s">
        <v>66</v>
      </c>
      <c r="J21" s="149">
        <f>IF(E13=O46,K12*2+K13*2+K14*2+K15*2,0)</f>
        <v>0</v>
      </c>
      <c r="K21" s="150"/>
      <c r="M21" s="46">
        <f>SUM(M10:M20)/E10</f>
        <v>3.1182460000000001</v>
      </c>
      <c r="O21" s="30" t="s">
        <v>45</v>
      </c>
    </row>
    <row r="22" spans="2:15" s="31" customFormat="1" ht="20.100000000000001" customHeight="1" x14ac:dyDescent="0.3">
      <c r="H22" s="66" t="s">
        <v>56</v>
      </c>
      <c r="I22" s="25" t="s">
        <v>67</v>
      </c>
      <c r="J22" s="100">
        <f>IF(E13=O47,ROUNDUP(K11*K6/1000,0),0)</f>
        <v>6</v>
      </c>
      <c r="K22" s="130"/>
      <c r="O22" s="30" t="s">
        <v>13</v>
      </c>
    </row>
    <row r="23" spans="2:15" s="31" customFormat="1" ht="20.100000000000001" customHeight="1" thickBot="1" x14ac:dyDescent="0.3">
      <c r="H23" s="85" t="s">
        <v>60</v>
      </c>
      <c r="I23" s="48" t="s">
        <v>61</v>
      </c>
      <c r="J23" s="98">
        <f>IF(J22&gt;0,K11*2,0)</f>
        <v>4</v>
      </c>
      <c r="K23" s="127"/>
    </row>
    <row r="24" spans="2:15" s="31" customFormat="1" ht="20.100000000000001" customHeight="1" x14ac:dyDescent="0.25">
      <c r="B24" s="52" t="s">
        <v>25</v>
      </c>
      <c r="C24" s="53" t="s">
        <v>26</v>
      </c>
      <c r="D24" s="53" t="s">
        <v>27</v>
      </c>
      <c r="E24" s="54" t="s">
        <v>28</v>
      </c>
      <c r="F24" s="55" t="s">
        <v>71</v>
      </c>
      <c r="H24" s="85" t="s">
        <v>80</v>
      </c>
      <c r="I24" s="28" t="s">
        <v>117</v>
      </c>
      <c r="J24" s="125">
        <f>IF(E13=O48,ROUNDUP(K11*K6/1000,0),0)</f>
        <v>0</v>
      </c>
      <c r="K24" s="126"/>
    </row>
    <row r="25" spans="2:15" s="31" customFormat="1" ht="20.100000000000001" customHeight="1" x14ac:dyDescent="0.25">
      <c r="B25" s="85" t="s">
        <v>29</v>
      </c>
      <c r="C25" s="18" t="s">
        <v>36</v>
      </c>
      <c r="D25" s="19">
        <f>ROUNDDOWN(K6-IF(D29=0,0,IF(C29=O11,D29,IF(C29=O12,D29+2,D29+3)))-
IF(D28=0,0,IF(C28=O11,D28,IF(C28=O12,D28+2,D28+3)))-
IF(D27=0,0,IF(C27=O11,D27,IF(C27=O12,D27+2,D27+3)))-
IF(D26=0,0,IF(C26=O11,D26,IF(C26=O12,D26+2,D26+3)))-11-46-
IF(C25=O12,2,IF(C25=O13,3,0))-E12*IF(E11=O63,9,1.4),0)</f>
        <v>2510</v>
      </c>
      <c r="E25" s="58">
        <f>IF(AND(C25=O11,OR(E9=O55,E9=O58,E9=O59,E9=O60)),K7-36,IF(AND(C25=O11,E9=O56),K7-54,IF(AND(C25=O11,E9=O57),K7-60,
IF(AND(C25=O12,OR(E9=O55,E9=O58,E9=O59,E9=O60)),K7-36-2,IF(AND(C25=O12,E9=O56),K7-54-2,IF(AND(C25=O12,E9=O57),K7-60-2,
IF(AND(C25=O13,OR(E9=O55,E9=O58,E9=O59,E9=O60)),K7-36-3,IF(AND(C25=O13,E9=O56),K7-54-3,IF(AND(C25=O13,E9=O57),K7-60-3,0)))))))))</f>
        <v>451</v>
      </c>
      <c r="F25" s="59">
        <f>$E$10</f>
        <v>1</v>
      </c>
      <c r="G25" s="60">
        <f>IF(D25&lt;&gt;0,1,0)</f>
        <v>1</v>
      </c>
      <c r="H25" s="85" t="s">
        <v>141</v>
      </c>
      <c r="I25" s="28" t="s">
        <v>130</v>
      </c>
      <c r="J25" s="149">
        <f>IF(E14=O68,E10,0)</f>
        <v>1</v>
      </c>
      <c r="K25" s="150"/>
      <c r="O25" s="24">
        <v>0</v>
      </c>
    </row>
    <row r="26" spans="2:15" s="31" customFormat="1" ht="20.100000000000001" customHeight="1" x14ac:dyDescent="0.25">
      <c r="B26" s="85" t="s">
        <v>30</v>
      </c>
      <c r="C26" s="18" t="s">
        <v>36</v>
      </c>
      <c r="D26" s="20">
        <v>0</v>
      </c>
      <c r="E26" s="58">
        <f>IF(AND(C26=O11,OR(E9=O55,E9=O58,E9=O59,E9=O60)),K7-36,IF(AND(C26=O11,E9=O56),K7-54,IF(AND(C26=O11,E9=O57),K7-60,
IF(AND(C26=O12,OR(E9=O55,E9=O58,E9=O59,E9=O60)),K7-36-2,IF(AND(C26=O12,E9=O56),K7-54-2,IF(AND(C26=O12,E9=O57),K7-60-2,
IF(AND(C26=O13,OR(E9=O55,E9=O58,E9=O59,E9=O60)),K7-36-3,IF(AND(C26=O13,E9=O56),K7-54-3,IF(AND(C26=O13,E9=O57),K7-60-3,0)))))))))</f>
        <v>451</v>
      </c>
      <c r="F26" s="59">
        <f>IF(D26&lt;&gt;0,$E$10,0)</f>
        <v>0</v>
      </c>
      <c r="G26" s="60">
        <f>IF(D26&lt;&gt;0,1,0)</f>
        <v>0</v>
      </c>
      <c r="H26" s="85" t="s">
        <v>142</v>
      </c>
      <c r="I26" s="28" t="s">
        <v>131</v>
      </c>
      <c r="J26" s="149">
        <f>IF(E14=O67,E10,0)</f>
        <v>0</v>
      </c>
      <c r="K26" s="150"/>
      <c r="O26" s="24">
        <v>1</v>
      </c>
    </row>
    <row r="27" spans="2:15" s="31" customFormat="1" ht="20.100000000000001" customHeight="1" thickBot="1" x14ac:dyDescent="0.3">
      <c r="B27" s="85" t="s">
        <v>31</v>
      </c>
      <c r="C27" s="18" t="s">
        <v>36</v>
      </c>
      <c r="D27" s="20">
        <v>0</v>
      </c>
      <c r="E27" s="58">
        <f>IF(AND(C27=O11,OR(E9=O55,E9=O58,E9=O59,E9=O60)),K7-36,IF(AND(C27=O11,E9=O56),K7-54,IF(AND(C27=O11,E9=O57),K7-60,
IF(AND(C27=O12,OR(E9=O55,E9=O58,E9=O59,E9=O60)),K7-36-2,IF(AND(C27=O12,E9=O56),K7-54-2,IF(AND(C27=O12,E9=O57),K7-60-2,
IF(AND(C27=O13,OR(E9=O55,E9=O58,E9=O59,E9=O60)),K7-36-3,IF(AND(C27=O13,E9=O56),K7-54-3,IF(AND(C27=O13,E9=O57),K7-60-3,0)))))))))</f>
        <v>451</v>
      </c>
      <c r="F27" s="59">
        <f>IF(D27&lt;&gt;0,$E$10,0)</f>
        <v>0</v>
      </c>
      <c r="G27" s="60">
        <f>IF(D27&lt;&gt;0,1,0)</f>
        <v>0</v>
      </c>
      <c r="H27" s="44" t="s">
        <v>118</v>
      </c>
      <c r="I27" s="68" t="s">
        <v>37</v>
      </c>
      <c r="J27" s="119">
        <f>K14*2</f>
        <v>0</v>
      </c>
      <c r="K27" s="120"/>
      <c r="O27" s="24">
        <v>2</v>
      </c>
    </row>
    <row r="28" spans="2:15" s="31" customFormat="1" ht="20.100000000000001" customHeight="1" x14ac:dyDescent="0.25">
      <c r="B28" s="85" t="s">
        <v>32</v>
      </c>
      <c r="C28" s="18" t="s">
        <v>36</v>
      </c>
      <c r="D28" s="20">
        <v>0</v>
      </c>
      <c r="E28" s="58">
        <f>IF(AND(C28=O11,OR(E9=O55,E9=O58,E9=O59,E9=O60)),K7-36,IF(AND(C28=O11,E9=O56),K7-54,IF(AND(C28=O11,E9=O57),K7-60,
IF(AND(C28=O12,OR(E9=O55,E9=O58,E9=O59,E9=O60)),K7-36-2,IF(AND(C28=O12,E9=O56),K7-54-2,IF(AND(C28=O12,E9=O57),K7-60-2,
IF(AND(C28=O13,OR(E9=O55,E9=O58,E9=O59,E9=O60)),K7-36-3,IF(AND(C28=O13,E9=O56),K7-54-3,IF(AND(C28=O13,E9=O57),K7-60-3,0)))))))))</f>
        <v>451</v>
      </c>
      <c r="F28" s="59">
        <f>IF(D28&lt;&gt;0,$E$10,0)</f>
        <v>0</v>
      </c>
      <c r="G28" s="60">
        <f>IF(D28&lt;&gt;0,1,0)</f>
        <v>0</v>
      </c>
      <c r="H28" s="88"/>
      <c r="I28" s="49"/>
      <c r="J28" s="89"/>
      <c r="K28" s="89"/>
      <c r="M28" s="75"/>
      <c r="O28" s="24">
        <v>3</v>
      </c>
    </row>
    <row r="29" spans="2:15" s="31" customFormat="1" ht="20.100000000000001" customHeight="1" thickBot="1" x14ac:dyDescent="0.35">
      <c r="B29" s="63" t="s">
        <v>33</v>
      </c>
      <c r="C29" s="21" t="s">
        <v>36</v>
      </c>
      <c r="D29" s="22">
        <v>0</v>
      </c>
      <c r="E29" s="64">
        <f>IF(AND(C29=O11,OR(E9=O55,E9=O58,E9=O59,E9=O60)),K7-36,IF(AND(C29=O11,E9=O56),K7-54,IF(AND(C29=O11,E9=O57),K7-60,
IF(AND(C29=O12,OR(E9=O55,E9=O58,E9=O59,E9=O60)),K7-36-2,IF(AND(C29=O12,E9=O56),K7-54-2,IF(AND(C29=O12,E9=O57),K7-60-2,
IF(AND(C29=O13,OR(E9=O55,E9=O58,E9=O59,E9=O60)),K7-36-3,IF(AND(C29=O13,E9=O56),K7-54-3,IF(AND(C29=O13,E9=O57),K7-60-3,0)))))))))</f>
        <v>451</v>
      </c>
      <c r="F29" s="65">
        <f>IF(D29&lt;&gt;0,$E$10,0)</f>
        <v>0</v>
      </c>
      <c r="G29" s="60">
        <f>IF(D29&lt;&gt;0,1,0)</f>
        <v>0</v>
      </c>
      <c r="H29" s="72"/>
      <c r="I29" s="72"/>
      <c r="J29" s="30"/>
      <c r="K29" s="79" t="s">
        <v>15</v>
      </c>
      <c r="L29" s="76"/>
      <c r="O29" s="24">
        <v>4</v>
      </c>
    </row>
    <row r="30" spans="2:15" ht="20.100000000000001" customHeight="1" x14ac:dyDescent="0.3">
      <c r="B30" s="31"/>
      <c r="C30" s="31"/>
      <c r="D30" s="31"/>
      <c r="E30" s="31"/>
      <c r="F30" s="31"/>
      <c r="G30" s="31"/>
      <c r="L30" s="77"/>
    </row>
    <row r="31" spans="2:15" ht="20.100000000000001" customHeight="1" x14ac:dyDescent="0.3">
      <c r="B31" s="31"/>
      <c r="C31" s="28" t="str">
        <f>IF((SUM(G25:G29)/C21)&lt;&gt;1,O17,O18)</f>
        <v>Верно внесены высоты вставок</v>
      </c>
      <c r="D31" s="87">
        <f>IF(C31=O18,1,0)</f>
        <v>1</v>
      </c>
      <c r="E31" s="31"/>
      <c r="F31" s="31"/>
      <c r="G31" s="31"/>
      <c r="M31" s="31">
        <f>IF(C25=$O$11,((D25*E25*F25/$E$10)/1000000)*8,IF(C25=$O$12,((D25*E25*F25/$E$10)/1000000)*6.5,((D25*E25*F25/$E$10)/1000000)*11))</f>
        <v>12.452109999999999</v>
      </c>
    </row>
    <row r="32" spans="2:15" ht="21" customHeight="1" x14ac:dyDescent="0.3">
      <c r="B32" s="31"/>
      <c r="C32" s="31"/>
      <c r="D32" s="31"/>
      <c r="E32" s="31"/>
      <c r="F32" s="31"/>
      <c r="G32" s="31"/>
      <c r="M32" s="31">
        <f>IF(C26=$O$11,((D26*E26*F26/$E$10)/1000000)*8,IF(C26=$O$12,((D26*E26*F26/$E$10)/1000000)*6.5,((D26*E26*F26/$E$10)/1000000)*11))</f>
        <v>0</v>
      </c>
    </row>
    <row r="33" spans="2:15" ht="20.100000000000001" customHeight="1" x14ac:dyDescent="0.3">
      <c r="B33" s="31"/>
      <c r="C33" s="96" t="str">
        <f>IF(AND(SUM(G25:G29)/C21=1,D29=0,C21&lt;&gt;1),O21,O22)</f>
        <v xml:space="preserve"> </v>
      </c>
      <c r="D33" s="96"/>
      <c r="E33" s="31"/>
      <c r="F33" s="31"/>
      <c r="G33" s="31"/>
      <c r="M33" s="31">
        <f>IF(C27=$O$11,((D27*E27*F27/$E$10)/1000000)*8,IF(C27=$O$12,((D27*E27*F27/$E$10)/1000000)*6.5,((D27*E27*F27/$E$10)/1000000)*11))</f>
        <v>0</v>
      </c>
      <c r="O33" s="23" t="s">
        <v>34</v>
      </c>
    </row>
    <row r="34" spans="2:15" ht="20.100000000000001" customHeight="1" thickBot="1" x14ac:dyDescent="0.35">
      <c r="B34" s="31"/>
      <c r="C34" s="31"/>
      <c r="D34" s="31"/>
      <c r="E34" s="31"/>
      <c r="F34" s="31"/>
      <c r="G34" s="31"/>
      <c r="M34" s="31">
        <f>IF(C28=$O$11,((D28*E28*F28/$E$10)/1000000)*8,IF(C28=$O$12,((D28*E28*F28/$E$10)/1000000)*6.5,((D28*E28*F28/$E$10)/1000000)*11))</f>
        <v>0</v>
      </c>
      <c r="O34" s="23" t="s">
        <v>36</v>
      </c>
    </row>
    <row r="35" spans="2:15" ht="20.100000000000001" customHeight="1" thickBot="1" x14ac:dyDescent="0.35">
      <c r="B35" s="31"/>
      <c r="E35" s="69" t="s">
        <v>74</v>
      </c>
      <c r="F35" s="70">
        <f>ROUNDUP(M38,0)</f>
        <v>17</v>
      </c>
      <c r="G35" s="31"/>
      <c r="M35" s="31">
        <f>IF(C29=$O$11,((D29*E29*F29/$E$10)/1000000)*8,IF(C29=$O$12,((D29*E29*F29/$E$10)/1000000)*6.5,((D29*E29*F29/$E$10)/1000000)*11))</f>
        <v>0</v>
      </c>
    </row>
    <row r="36" spans="2:15" ht="20.100000000000001" customHeight="1" thickBot="1" x14ac:dyDescent="0.35">
      <c r="B36" s="31"/>
      <c r="C36" s="31"/>
      <c r="D36" s="31"/>
      <c r="E36" s="30"/>
      <c r="F36" s="30"/>
      <c r="G36" s="31"/>
      <c r="M36" s="46">
        <f>SUM(M31:M35)</f>
        <v>12.452109999999999</v>
      </c>
      <c r="O36" s="30" t="s">
        <v>50</v>
      </c>
    </row>
    <row r="37" spans="2:15" ht="19.5" thickBot="1" x14ac:dyDescent="0.35">
      <c r="B37" s="31"/>
      <c r="E37" s="31"/>
      <c r="F37" s="31"/>
      <c r="G37" s="31"/>
      <c r="M37" s="31"/>
      <c r="O37" s="31" t="s">
        <v>51</v>
      </c>
    </row>
    <row r="38" spans="2:15" ht="19.5" thickBot="1" x14ac:dyDescent="0.35">
      <c r="G38" s="31"/>
      <c r="L38" s="56" t="s">
        <v>72</v>
      </c>
      <c r="M38" s="57">
        <f>(M36+M21)*1.05</f>
        <v>16.3488738</v>
      </c>
    </row>
    <row r="39" spans="2:15" x14ac:dyDescent="0.3">
      <c r="D39" s="30"/>
      <c r="E39" s="30"/>
      <c r="F39" s="30"/>
      <c r="G39" s="31"/>
    </row>
    <row r="40" spans="2:15" x14ac:dyDescent="0.3">
      <c r="G40" s="31"/>
    </row>
    <row r="41" spans="2:15" x14ac:dyDescent="0.3">
      <c r="G41" s="31"/>
      <c r="O41" s="30" t="s">
        <v>51</v>
      </c>
    </row>
    <row r="42" spans="2:15" x14ac:dyDescent="0.3">
      <c r="G42" s="31"/>
      <c r="O42" s="30" t="s">
        <v>52</v>
      </c>
    </row>
    <row r="43" spans="2:15" x14ac:dyDescent="0.3">
      <c r="O43" s="30" t="s">
        <v>53</v>
      </c>
    </row>
    <row r="46" spans="2:15" x14ac:dyDescent="0.3">
      <c r="O46" s="26" t="s">
        <v>55</v>
      </c>
    </row>
    <row r="47" spans="2:15" x14ac:dyDescent="0.3">
      <c r="O47" s="27" t="s">
        <v>56</v>
      </c>
    </row>
    <row r="48" spans="2:15" x14ac:dyDescent="0.3">
      <c r="O48" s="26" t="s">
        <v>80</v>
      </c>
    </row>
    <row r="50" spans="15:16" x14ac:dyDescent="0.3">
      <c r="O50" s="30" t="s">
        <v>69</v>
      </c>
    </row>
    <row r="51" spans="15:16" x14ac:dyDescent="0.3">
      <c r="O51" s="30" t="s">
        <v>13</v>
      </c>
    </row>
    <row r="55" spans="15:16" x14ac:dyDescent="0.3">
      <c r="O55" s="30" t="s">
        <v>81</v>
      </c>
      <c r="P55" s="30">
        <f>ROUNDUP(IF(AND(OR(E13=O48,E13=O47),E8=O3),(E7-5-5)/E10,
IF(AND(OR(E13=O48,E13=O47),E8=O4),(E7-5-10-5)/E10,
IF(AND(E13=O46,E8=O3),(E7-3-3)/E10,
IF(AND(E13=O46,E8=O4),(E7-3-4-3)/E10,0)))),0)</f>
        <v>490</v>
      </c>
    </row>
    <row r="56" spans="15:16" x14ac:dyDescent="0.3">
      <c r="O56" s="30" t="s">
        <v>82</v>
      </c>
      <c r="P56" s="30">
        <f>ROUNDUP(IF(AND(OR(E13=O48,E13=O47),E8=O3),(E7-5-5)/E10,
IF(AND(OR(E13=O48,E13=O47),E8=O4),(E7-5-10-5)/E10,
IF(AND(E13=O46,E8=O3),(E7-3.5-3.5)/E10,
IF(AND(E13=O46,E8=O4),(E7-3.5-4-3.5)/E10,0)))),0)</f>
        <v>490</v>
      </c>
    </row>
    <row r="57" spans="15:16" x14ac:dyDescent="0.3">
      <c r="O57" s="30" t="s">
        <v>83</v>
      </c>
      <c r="P57" s="30">
        <f>ROUNDUP(IF(AND(OR(E13=O48,E13=O47),E8=O3),(E7-6-6)/E10,
IF(AND(OR(E13=O48,E13=O47),E8=O4),(E7-6-10-6)/E10,
IF(AND(E13=O46,E8=O3),(E7-6-6)/E10,
IF(AND(E13=O46,E8=O4),(E7-6-4-6)/E10,0)))),0)</f>
        <v>488</v>
      </c>
    </row>
    <row r="58" spans="15:16" x14ac:dyDescent="0.3">
      <c r="O58" s="30" t="s">
        <v>84</v>
      </c>
      <c r="P58" s="30">
        <f>ROUNDUP(IF(AND(OR(E13=O48,E13=O47),E8=O3),(E7-6-6)/E10,
IF(AND(OR(E13=O48,E13=O47),E8=O4),(E7-6-10-6)/E10,
IF(AND(E13=O46,E8=O3),(E7-6-6)/E10,
IF(AND(E13=O46,E8=O4),(E7-6-4-6)/E10,0)))),0)</f>
        <v>488</v>
      </c>
    </row>
    <row r="59" spans="15:16" x14ac:dyDescent="0.3">
      <c r="O59" s="30" t="s">
        <v>85</v>
      </c>
      <c r="P59" s="30">
        <f>ROUNDUP(IF(AND(OR(E13=O48,E13=O47),E8=O3),(E7-5-5)/E10,
IF(AND(OR(E13=O48,E13=O47),E8=O4),(E7-5-10-5)/E10,
IF(AND(E13=O46,E8=O3),(E7-3-3)/E10,
IF(AND(E13=O46,E8=O4),(E7-3-4-3)/E10,0)))),0)</f>
        <v>490</v>
      </c>
    </row>
    <row r="60" spans="15:16" x14ac:dyDescent="0.3">
      <c r="O60" s="30" t="s">
        <v>86</v>
      </c>
      <c r="P60" s="30">
        <f>ROUNDUP(IF(AND(OR(E13=O48,E13=O47),E8=O3),(E7-5-5)/E10,
IF(AND(OR(E13=O48,E13=O47),E8=O4),(E7-5-10-5)/E10,
IF(AND(E13=O46,E8=O3),(E7-3-3)/E10,
IF(AND(E13=O46,E8=O4),(E7-3-4-3)/E10,0)))),0)</f>
        <v>490</v>
      </c>
    </row>
    <row r="63" spans="15:16" x14ac:dyDescent="0.3">
      <c r="O63" s="30" t="s">
        <v>87</v>
      </c>
    </row>
    <row r="64" spans="15:16" x14ac:dyDescent="0.3">
      <c r="O64" s="30" t="s">
        <v>88</v>
      </c>
    </row>
    <row r="67" spans="15:16" x14ac:dyDescent="0.3">
      <c r="O67" s="30" t="s">
        <v>135</v>
      </c>
    </row>
    <row r="68" spans="15:16" x14ac:dyDescent="0.3">
      <c r="O68" s="30" t="s">
        <v>136</v>
      </c>
    </row>
    <row r="69" spans="15:16" x14ac:dyDescent="0.3">
      <c r="O69" s="30" t="s">
        <v>92</v>
      </c>
      <c r="P69" s="30" t="s">
        <v>102</v>
      </c>
    </row>
    <row r="70" spans="15:16" x14ac:dyDescent="0.3">
      <c r="O70" s="30" t="s">
        <v>93</v>
      </c>
      <c r="P70" s="30" t="s">
        <v>103</v>
      </c>
    </row>
    <row r="71" spans="15:16" x14ac:dyDescent="0.3">
      <c r="O71" s="30" t="s">
        <v>94</v>
      </c>
      <c r="P71" s="30" t="s">
        <v>104</v>
      </c>
    </row>
    <row r="72" spans="15:16" x14ac:dyDescent="0.3">
      <c r="O72" s="30" t="s">
        <v>95</v>
      </c>
      <c r="P72" s="30" t="s">
        <v>105</v>
      </c>
    </row>
    <row r="73" spans="15:16" x14ac:dyDescent="0.3">
      <c r="O73" s="30" t="s">
        <v>96</v>
      </c>
      <c r="P73" s="30" t="s">
        <v>106</v>
      </c>
    </row>
    <row r="74" spans="15:16" x14ac:dyDescent="0.3">
      <c r="O74" s="30" t="s">
        <v>97</v>
      </c>
      <c r="P74" s="30" t="s">
        <v>107</v>
      </c>
    </row>
  </sheetData>
  <sheetProtection algorithmName="SHA-512" hashValue="wFmKeNFn8iuIihWWz0bZbqI5GUBaS42YRSxueLHkTteB45vv7NWgVtaerKmWmt7+zle4hS8JWzkY6SG6R4Bxsw==" saltValue="CtLdxc7bwXTYlk00HbME/g==" spinCount="100000" sheet="1" selectLockedCells="1"/>
  <mergeCells count="34">
    <mergeCell ref="B2:K2"/>
    <mergeCell ref="H4:K4"/>
    <mergeCell ref="B6:D6"/>
    <mergeCell ref="E6:F6"/>
    <mergeCell ref="H6:I7"/>
    <mergeCell ref="B7:D7"/>
    <mergeCell ref="E7:F7"/>
    <mergeCell ref="B4:F4"/>
    <mergeCell ref="B8:D8"/>
    <mergeCell ref="E8:F8"/>
    <mergeCell ref="B9:D9"/>
    <mergeCell ref="E9:F9"/>
    <mergeCell ref="B10:D10"/>
    <mergeCell ref="E10:F10"/>
    <mergeCell ref="B12:D12"/>
    <mergeCell ref="E12:F12"/>
    <mergeCell ref="B11:D11"/>
    <mergeCell ref="E11:F11"/>
    <mergeCell ref="B14:D14"/>
    <mergeCell ref="E14:F14"/>
    <mergeCell ref="J19:K19"/>
    <mergeCell ref="J20:K20"/>
    <mergeCell ref="J17:K17"/>
    <mergeCell ref="J18:K18"/>
    <mergeCell ref="B13:D13"/>
    <mergeCell ref="E13:F13"/>
    <mergeCell ref="C33:D33"/>
    <mergeCell ref="J27:K27"/>
    <mergeCell ref="J25:K25"/>
    <mergeCell ref="J26:K26"/>
    <mergeCell ref="J21:K21"/>
    <mergeCell ref="J22:K22"/>
    <mergeCell ref="J23:K23"/>
    <mergeCell ref="J24:K24"/>
  </mergeCells>
  <conditionalFormatting sqref="C31">
    <cfRule type="expression" dxfId="5" priority="4">
      <formula>$C$31=$O$17</formula>
    </cfRule>
    <cfRule type="expression" dxfId="4" priority="5">
      <formula>$C$31=$O$18</formula>
    </cfRule>
  </conditionalFormatting>
  <conditionalFormatting sqref="C33">
    <cfRule type="expression" dxfId="3" priority="6">
      <formula>$C$33=$O$21</formula>
    </cfRule>
  </conditionalFormatting>
  <dataValidations count="8">
    <dataValidation type="list" allowBlank="1" showInputMessage="1" showErrorMessage="1" sqref="E11:F11">
      <formula1>$O$63:$O$64</formula1>
    </dataValidation>
    <dataValidation type="list" allowBlank="1" showInputMessage="1" showErrorMessage="1" sqref="E9:F9">
      <formula1>$O$55:$O$60</formula1>
    </dataValidation>
    <dataValidation type="list" allowBlank="1" showInputMessage="1" showErrorMessage="1" sqref="E13:F13">
      <formula1>$O$46:$O$48</formula1>
    </dataValidation>
    <dataValidation type="list" allowBlank="1" showInputMessage="1" showErrorMessage="1" sqref="C25:C29">
      <formula1>$O$11:$O$13</formula1>
    </dataValidation>
    <dataValidation type="list" operator="greaterThan" allowBlank="1" showInputMessage="1" showErrorMessage="1" sqref="E12">
      <formula1>$O$25:$O$29</formula1>
    </dataValidation>
    <dataValidation type="whole" allowBlank="1" showInputMessage="1" showErrorMessage="1" sqref="E10">
      <formula1>1</formula1>
      <formula2>5</formula2>
    </dataValidation>
    <dataValidation type="list" allowBlank="1" showInputMessage="1" showErrorMessage="1" sqref="E8:F8">
      <formula1>$O$3:$O$4</formula1>
    </dataValidation>
    <dataValidation type="list" allowBlank="1" showInputMessage="1" showErrorMessage="1" sqref="E14:F14">
      <formula1>$O$67:$O$68</formula1>
    </dataValidation>
  </dataValidations>
  <hyperlinks>
    <hyperlink ref="K29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A604A02-6584-4F4C-AABA-0F172D69EE94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P70"/>
  <sheetViews>
    <sheetView zoomScale="70" zoomScaleNormal="70" workbookViewId="0">
      <selection activeCell="E6" sqref="E6:F6"/>
    </sheetView>
  </sheetViews>
  <sheetFormatPr defaultColWidth="9.140625" defaultRowHeight="18.75" x14ac:dyDescent="0.3"/>
  <cols>
    <col min="1" max="1" width="3" style="30" customWidth="1"/>
    <col min="2" max="2" width="43.42578125" style="30" customWidth="1"/>
    <col min="3" max="3" width="41.7109375" style="30" customWidth="1"/>
    <col min="4" max="6" width="14.7109375" style="87" customWidth="1"/>
    <col min="7" max="7" width="2.7109375" style="30" customWidth="1"/>
    <col min="8" max="8" width="80.28515625" style="30" customWidth="1"/>
    <col min="9" max="9" width="17.140625" style="30" customWidth="1"/>
    <col min="10" max="10" width="16.7109375" style="30" customWidth="1"/>
    <col min="11" max="11" width="13.42578125" style="30" customWidth="1"/>
    <col min="12" max="12" width="15.140625" style="30" hidden="1" customWidth="1"/>
    <col min="13" max="13" width="13.28515625" style="30" hidden="1" customWidth="1"/>
    <col min="14" max="14" width="9.140625" style="30" hidden="1" customWidth="1"/>
    <col min="15" max="15" width="37.85546875" style="30" hidden="1" customWidth="1"/>
    <col min="16" max="16384" width="9.140625" style="30"/>
  </cols>
  <sheetData>
    <row r="1" spans="2:15" x14ac:dyDescent="0.3">
      <c r="B1" s="29"/>
      <c r="C1" s="29"/>
    </row>
    <row r="2" spans="2:15" s="31" customFormat="1" ht="27.6" customHeight="1" x14ac:dyDescent="0.25">
      <c r="B2" s="97" t="s">
        <v>140</v>
      </c>
      <c r="C2" s="97"/>
      <c r="D2" s="97"/>
      <c r="E2" s="97"/>
      <c r="F2" s="97"/>
      <c r="G2" s="97"/>
      <c r="H2" s="97"/>
      <c r="I2" s="97"/>
      <c r="J2" s="97"/>
      <c r="K2" s="97"/>
    </row>
    <row r="3" spans="2:15" s="32" customFormat="1" ht="20.100000000000001" customHeight="1" x14ac:dyDescent="0.3">
      <c r="B3" s="33"/>
      <c r="C3" s="33"/>
      <c r="D3" s="33"/>
      <c r="E3" s="33"/>
      <c r="F3" s="33"/>
      <c r="H3" s="34"/>
      <c r="I3" s="34"/>
      <c r="J3" s="34"/>
      <c r="K3" s="34"/>
      <c r="O3" s="35" t="s">
        <v>18</v>
      </c>
    </row>
    <row r="4" spans="2:15" s="32" customFormat="1" ht="20.100000000000001" customHeight="1" x14ac:dyDescent="0.25">
      <c r="B4" s="102" t="s">
        <v>11</v>
      </c>
      <c r="C4" s="102"/>
      <c r="D4" s="102"/>
      <c r="E4" s="102"/>
      <c r="F4" s="86"/>
      <c r="H4" s="102" t="s">
        <v>10</v>
      </c>
      <c r="I4" s="102"/>
      <c r="J4" s="102"/>
      <c r="K4" s="102"/>
      <c r="O4" s="35" t="s">
        <v>19</v>
      </c>
    </row>
    <row r="5" spans="2:15" s="31" customFormat="1" ht="20.100000000000001" customHeight="1" thickBot="1" x14ac:dyDescent="0.3">
      <c r="B5" s="36"/>
      <c r="C5" s="36"/>
      <c r="D5" s="36"/>
      <c r="E5" s="36"/>
      <c r="F5" s="36"/>
      <c r="G5" s="32"/>
      <c r="H5" s="36"/>
      <c r="I5" s="36"/>
      <c r="J5" s="36"/>
      <c r="K5" s="36"/>
      <c r="O5" s="35" t="s">
        <v>20</v>
      </c>
    </row>
    <row r="6" spans="2:15" s="31" customFormat="1" ht="20.100000000000001" customHeight="1" x14ac:dyDescent="0.25">
      <c r="B6" s="133" t="s">
        <v>0</v>
      </c>
      <c r="C6" s="134"/>
      <c r="D6" s="134"/>
      <c r="E6" s="111">
        <v>2600</v>
      </c>
      <c r="F6" s="112"/>
      <c r="H6" s="103" t="s">
        <v>7</v>
      </c>
      <c r="I6" s="104"/>
      <c r="J6" s="37" t="s">
        <v>5</v>
      </c>
      <c r="K6" s="1">
        <f>E6-35</f>
        <v>2565</v>
      </c>
      <c r="O6" s="35" t="s">
        <v>21</v>
      </c>
    </row>
    <row r="7" spans="2:15" s="31" customFormat="1" ht="20.100000000000001" customHeight="1" thickBot="1" x14ac:dyDescent="0.3">
      <c r="B7" s="135" t="s">
        <v>14</v>
      </c>
      <c r="C7" s="136"/>
      <c r="D7" s="136"/>
      <c r="E7" s="113">
        <v>1400</v>
      </c>
      <c r="F7" s="114"/>
      <c r="H7" s="105"/>
      <c r="I7" s="106"/>
      <c r="J7" s="38" t="s">
        <v>6</v>
      </c>
      <c r="K7" s="2">
        <f>IF(E9=O55,P55,IF(E9=O56,P56,0))</f>
        <v>708</v>
      </c>
      <c r="O7" s="35" t="s">
        <v>22</v>
      </c>
    </row>
    <row r="8" spans="2:15" s="31" customFormat="1" ht="20.100000000000001" customHeight="1" thickBot="1" x14ac:dyDescent="0.3">
      <c r="B8" s="137" t="s">
        <v>24</v>
      </c>
      <c r="C8" s="138"/>
      <c r="D8" s="138"/>
      <c r="E8" s="113" t="s">
        <v>18</v>
      </c>
      <c r="F8" s="114"/>
      <c r="H8" s="39"/>
      <c r="I8" s="39"/>
      <c r="J8" s="40"/>
      <c r="K8" s="3"/>
    </row>
    <row r="9" spans="2:15" s="31" customFormat="1" ht="20.100000000000001" customHeight="1" x14ac:dyDescent="0.25">
      <c r="B9" s="141" t="s">
        <v>79</v>
      </c>
      <c r="C9" s="142"/>
      <c r="D9" s="142"/>
      <c r="E9" s="139" t="s">
        <v>81</v>
      </c>
      <c r="F9" s="140"/>
      <c r="H9" s="41" t="s">
        <v>2</v>
      </c>
      <c r="I9" s="73" t="s">
        <v>23</v>
      </c>
      <c r="J9" s="37" t="s">
        <v>3</v>
      </c>
      <c r="K9" s="42" t="s">
        <v>4</v>
      </c>
      <c r="L9" s="71"/>
    </row>
    <row r="10" spans="2:15" s="31" customFormat="1" ht="20.100000000000001" customHeight="1" x14ac:dyDescent="0.3">
      <c r="B10" s="137" t="s">
        <v>1</v>
      </c>
      <c r="C10" s="138"/>
      <c r="D10" s="138"/>
      <c r="E10" s="115">
        <f>IF(E8=O3,2,IF(E8=O4,3,IF(E8=O5,4,IF(E8=O6,4,IF(E8=O7,5)))))</f>
        <v>2</v>
      </c>
      <c r="F10" s="116"/>
      <c r="H10" s="82" t="s">
        <v>38</v>
      </c>
      <c r="I10" s="80" t="s">
        <v>143</v>
      </c>
      <c r="J10" s="81">
        <f>E7-2</f>
        <v>1398</v>
      </c>
      <c r="K10" s="83">
        <v>1</v>
      </c>
      <c r="L10" s="30">
        <v>0.53800000000000003</v>
      </c>
      <c r="M10" s="31">
        <f>L10*J10*K10/1000</f>
        <v>0.75212400000000001</v>
      </c>
    </row>
    <row r="11" spans="2:15" s="31" customFormat="1" ht="20.100000000000001" customHeight="1" x14ac:dyDescent="0.3">
      <c r="B11" s="137" t="s">
        <v>123</v>
      </c>
      <c r="C11" s="138"/>
      <c r="D11" s="138"/>
      <c r="E11" s="115">
        <f>IF(E8=O3,1,IF(E8=O4,2,IF(E8=O5,3,IF(E8=O6,2,IF(E8=O7,4)))))</f>
        <v>1</v>
      </c>
      <c r="F11" s="116"/>
      <c r="H11" s="82" t="s">
        <v>40</v>
      </c>
      <c r="I11" s="80" t="s">
        <v>144</v>
      </c>
      <c r="J11" s="81">
        <f>E7-2</f>
        <v>1398</v>
      </c>
      <c r="K11" s="83">
        <v>1</v>
      </c>
      <c r="L11" s="30">
        <v>0.26900000000000002</v>
      </c>
      <c r="M11" s="31">
        <f t="shared" ref="M11" si="0">L11*J11*K11/1000</f>
        <v>0.37606200000000001</v>
      </c>
      <c r="O11" s="23" t="s">
        <v>34</v>
      </c>
    </row>
    <row r="12" spans="2:15" s="31" customFormat="1" ht="20.100000000000001" customHeight="1" x14ac:dyDescent="0.3">
      <c r="B12" s="141" t="s">
        <v>89</v>
      </c>
      <c r="C12" s="142"/>
      <c r="D12" s="142"/>
      <c r="E12" s="139" t="s">
        <v>87</v>
      </c>
      <c r="F12" s="140"/>
      <c r="H12" s="85" t="str">
        <f>IF(E9=O55,O69,O70)</f>
        <v>Вертикальный профиль C</v>
      </c>
      <c r="I12" s="43" t="str">
        <f>IF(E9=O55,P69,P70)</f>
        <v>CKRU0453</v>
      </c>
      <c r="J12" s="4">
        <f>$K$6</f>
        <v>2565</v>
      </c>
      <c r="K12" s="5">
        <f>IF(J12&gt;0,$E$10*2,0)</f>
        <v>4</v>
      </c>
      <c r="L12" s="30">
        <v>0.38500000000000001</v>
      </c>
      <c r="M12" s="92">
        <f>IF(H12=O69,L12*J12*K12/1000,0)</f>
        <v>3.9500999999999999</v>
      </c>
      <c r="O12" s="23" t="s">
        <v>35</v>
      </c>
    </row>
    <row r="13" spans="2:15" s="31" customFormat="1" ht="20.100000000000001" customHeight="1" x14ac:dyDescent="0.3">
      <c r="B13" s="143" t="s">
        <v>16</v>
      </c>
      <c r="C13" s="144"/>
      <c r="D13" s="144"/>
      <c r="E13" s="117">
        <v>0</v>
      </c>
      <c r="F13" s="118"/>
      <c r="H13" s="85" t="s">
        <v>98</v>
      </c>
      <c r="I13" s="43" t="s">
        <v>147</v>
      </c>
      <c r="J13" s="4">
        <f>IF(OR(E9=O55,E9=O58,E9=O59,E9=O60),K7-51,IF(E9=O56,K7-68,K7-76))</f>
        <v>657</v>
      </c>
      <c r="K13" s="5">
        <f>E10</f>
        <v>2</v>
      </c>
      <c r="L13" s="30">
        <v>0.47199999999999998</v>
      </c>
      <c r="M13" s="92">
        <f>IF(H12=O70,L12*J12*K12/1000,0)</f>
        <v>0</v>
      </c>
      <c r="O13" s="23" t="s">
        <v>36</v>
      </c>
    </row>
    <row r="14" spans="2:15" s="31" customFormat="1" ht="20.100000000000001" customHeight="1" x14ac:dyDescent="0.3">
      <c r="B14" s="141" t="s">
        <v>76</v>
      </c>
      <c r="C14" s="142"/>
      <c r="D14" s="142"/>
      <c r="E14" s="139" t="s">
        <v>53</v>
      </c>
      <c r="F14" s="140"/>
      <c r="H14" s="85" t="s">
        <v>99</v>
      </c>
      <c r="I14" s="43" t="s">
        <v>148</v>
      </c>
      <c r="J14" s="4">
        <f>J13</f>
        <v>657</v>
      </c>
      <c r="K14" s="5">
        <f>E10</f>
        <v>2</v>
      </c>
      <c r="L14" s="30">
        <v>0.22800000000000001</v>
      </c>
      <c r="M14" s="31">
        <f>L14*J13*K13/1000</f>
        <v>0.29959199999999997</v>
      </c>
    </row>
    <row r="15" spans="2:15" s="31" customFormat="1" ht="20.100000000000001" customHeight="1" thickBot="1" x14ac:dyDescent="0.35">
      <c r="B15" s="151" t="s">
        <v>54</v>
      </c>
      <c r="C15" s="152"/>
      <c r="D15" s="152"/>
      <c r="E15" s="153" t="s">
        <v>56</v>
      </c>
      <c r="F15" s="154"/>
      <c r="H15" s="85" t="s">
        <v>100</v>
      </c>
      <c r="I15" s="43" t="s">
        <v>149</v>
      </c>
      <c r="J15" s="4">
        <f>J13</f>
        <v>657</v>
      </c>
      <c r="K15" s="5">
        <f>IF(E12=O63,E10*E13,0)</f>
        <v>0</v>
      </c>
      <c r="L15" s="30">
        <v>0.42299999999999999</v>
      </c>
      <c r="M15" s="31">
        <f>L15*J14*K14/1000</f>
        <v>0.55582200000000004</v>
      </c>
    </row>
    <row r="16" spans="2:15" s="31" customFormat="1" ht="20.100000000000001" customHeight="1" thickBot="1" x14ac:dyDescent="0.3">
      <c r="H16" s="44" t="s">
        <v>101</v>
      </c>
      <c r="I16" s="45" t="s">
        <v>150</v>
      </c>
      <c r="J16" s="6">
        <f>J13</f>
        <v>657</v>
      </c>
      <c r="K16" s="7">
        <f>IF(E12=O64,E10*E13,0)</f>
        <v>0</v>
      </c>
      <c r="L16" s="31">
        <v>0.216</v>
      </c>
      <c r="M16" s="31">
        <f>L16*J15*K15/1000</f>
        <v>0</v>
      </c>
    </row>
    <row r="17" spans="2:15" s="31" customFormat="1" ht="20.100000000000001" customHeight="1" thickBot="1" x14ac:dyDescent="0.3">
      <c r="B17" s="31" t="s">
        <v>90</v>
      </c>
      <c r="L17" s="31">
        <v>0.13700000000000001</v>
      </c>
      <c r="M17" s="31">
        <f>L17*J16*K16/1000</f>
        <v>0</v>
      </c>
      <c r="O17" s="31" t="s">
        <v>43</v>
      </c>
    </row>
    <row r="18" spans="2:15" s="31" customFormat="1" ht="20.100000000000001" customHeight="1" thickBot="1" x14ac:dyDescent="0.3">
      <c r="H18" s="47" t="s">
        <v>8</v>
      </c>
      <c r="I18" s="73" t="s">
        <v>23</v>
      </c>
      <c r="J18" s="121" t="s">
        <v>4</v>
      </c>
      <c r="K18" s="122"/>
      <c r="M18" s="46">
        <f>SUM(M10:M17)/E10</f>
        <v>2.96685</v>
      </c>
      <c r="O18" s="31" t="s">
        <v>44</v>
      </c>
    </row>
    <row r="19" spans="2:15" s="31" customFormat="1" ht="20.100000000000001" customHeight="1" x14ac:dyDescent="0.25">
      <c r="B19" s="31" t="s">
        <v>12</v>
      </c>
      <c r="H19" s="85" t="s">
        <v>42</v>
      </c>
      <c r="I19" s="48" t="s">
        <v>139</v>
      </c>
      <c r="J19" s="123">
        <f>IF(E9=O55,E10,0)</f>
        <v>2</v>
      </c>
      <c r="K19" s="124"/>
    </row>
    <row r="20" spans="2:15" s="31" customFormat="1" ht="20.100000000000001" customHeight="1" thickBot="1" x14ac:dyDescent="0.3">
      <c r="H20" s="85" t="s">
        <v>42</v>
      </c>
      <c r="I20" s="48" t="s">
        <v>116</v>
      </c>
      <c r="J20" s="123">
        <f>IF(E9=O56,E10,0)</f>
        <v>0</v>
      </c>
      <c r="K20" s="124"/>
    </row>
    <row r="21" spans="2:15" s="31" customFormat="1" ht="20.100000000000001" customHeight="1" thickBot="1" x14ac:dyDescent="0.35">
      <c r="B21" s="50" t="s">
        <v>70</v>
      </c>
      <c r="C21" s="51">
        <f>E13+1</f>
        <v>1</v>
      </c>
      <c r="D21" s="74"/>
      <c r="E21" s="49"/>
      <c r="F21" s="49"/>
      <c r="H21" s="85" t="s">
        <v>48</v>
      </c>
      <c r="I21" s="28" t="s">
        <v>46</v>
      </c>
      <c r="J21" s="125">
        <f>ROUNDUP((IF(C25=O12,(D25+E25)*2*F25,0)
+IF(C26=O12,(D26+E26)*2*F26,0)
+IF(C27=O12,(D27+E27)*2*F27,0)
+IF(C28=O12,(D28+E28)*2*F28,0)
+IF(C29=O12,(D29+E29)*2*F29,0))/1000,0)</f>
        <v>0</v>
      </c>
      <c r="K21" s="126"/>
      <c r="O21" s="30" t="s">
        <v>45</v>
      </c>
    </row>
    <row r="22" spans="2:15" s="31" customFormat="1" ht="20.100000000000001" customHeight="1" x14ac:dyDescent="0.3">
      <c r="H22" s="85" t="s">
        <v>49</v>
      </c>
      <c r="I22" s="28" t="s">
        <v>47</v>
      </c>
      <c r="J22" s="125">
        <f>ROUNDUP((IF(C25=O13,(D25+E25)*2*F25,0)
+IF(C26=O13,(D26+E26)*2*F26,0)
+IF(C27=O13,(D27+E27)*2*F27,0)
+IF(C28=O13,(D28+E28)*2*F28,0)
+IF(C29=O13,(D29+E29)*2*F29,0))/1000,0)</f>
        <v>13</v>
      </c>
      <c r="K22" s="126"/>
      <c r="O22" s="30" t="s">
        <v>13</v>
      </c>
    </row>
    <row r="23" spans="2:15" s="31" customFormat="1" ht="20.100000000000001" customHeight="1" thickBot="1" x14ac:dyDescent="0.3">
      <c r="H23" s="85" t="s">
        <v>78</v>
      </c>
      <c r="I23" s="48" t="s">
        <v>65</v>
      </c>
      <c r="J23" s="98">
        <f>IF(E14=O42,E10*2,0)</f>
        <v>4</v>
      </c>
      <c r="K23" s="127"/>
    </row>
    <row r="24" spans="2:15" s="31" customFormat="1" ht="20.100000000000001" customHeight="1" x14ac:dyDescent="0.3">
      <c r="B24" s="52" t="s">
        <v>25</v>
      </c>
      <c r="C24" s="53" t="s">
        <v>26</v>
      </c>
      <c r="D24" s="53" t="s">
        <v>27</v>
      </c>
      <c r="E24" s="54" t="s">
        <v>28</v>
      </c>
      <c r="F24" s="55" t="s">
        <v>71</v>
      </c>
      <c r="H24" s="61" t="s">
        <v>55</v>
      </c>
      <c r="I24" s="62" t="s">
        <v>66</v>
      </c>
      <c r="J24" s="128">
        <f>IF(E15=O46,K13*2+K14*2+K15*2+K16*2,0)</f>
        <v>0</v>
      </c>
      <c r="K24" s="129"/>
    </row>
    <row r="25" spans="2:15" s="31" customFormat="1" ht="20.100000000000001" customHeight="1" x14ac:dyDescent="0.25">
      <c r="B25" s="85" t="s">
        <v>29</v>
      </c>
      <c r="C25" s="18" t="s">
        <v>36</v>
      </c>
      <c r="D25" s="19">
        <f>ROUNDDOWN(K6-IF(D29=0,0,IF(C29=O11,D29,IF(C29=O12,D29+2,D29+3)))-
IF(D28=0,0,IF(C28=O11,D28,IF(C28=O12,D28+2,D28+3)))-
IF(D27=0,0,IF(C27=O11,D27,IF(C27=O12,D27+2,D27+3)))-
IF(D26=0,0,IF(C26=O11,D26,IF(C26=O12,D26+2,D26+3)))-59-
IF(C25=O12,2,IF(C25=O13,3,0))-E13*IF(E12=O63,9,1.4),0)</f>
        <v>2503</v>
      </c>
      <c r="E25" s="58">
        <f>IF(AND(C25=O11,E9=O55),K7-36,IF(AND(C25=O11,E9=O56),K7-54,
IF(AND(C25=O12,E9=O55),K7-36-2,IF(AND(C25=O12,E9=O56),K7-54-2,
IF(AND(C25=O13,E9=O55),K7-36-3,IF(AND(C25=O13,E9=O56),K7-54-3,0))))))</f>
        <v>669</v>
      </c>
      <c r="F25" s="59">
        <f>$E$10</f>
        <v>2</v>
      </c>
      <c r="G25" s="60">
        <f>IF(D25&lt;&gt;0,1,0)</f>
        <v>1</v>
      </c>
      <c r="H25" s="66" t="s">
        <v>56</v>
      </c>
      <c r="I25" s="25" t="s">
        <v>67</v>
      </c>
      <c r="J25" s="100">
        <f>IF(E15=O47,ROUNDUP(K12*K6/1000,0),0)</f>
        <v>11</v>
      </c>
      <c r="K25" s="130"/>
      <c r="O25" s="24">
        <v>0</v>
      </c>
    </row>
    <row r="26" spans="2:15" s="31" customFormat="1" ht="20.100000000000001" customHeight="1" x14ac:dyDescent="0.25">
      <c r="B26" s="85" t="s">
        <v>30</v>
      </c>
      <c r="C26" s="18" t="s">
        <v>36</v>
      </c>
      <c r="D26" s="20">
        <v>0</v>
      </c>
      <c r="E26" s="58">
        <f>IF(AND(C26=O11,E9=O55),K7-36,IF(AND(C26=O11,E9=O56),K7-54,
IF(AND(C26=O12,E9=O55),K7-36-2,IF(AND(C26=O12,E9=O56),K7-54-2,
IF(AND(C26=O13,E9=O55),K7-36-3,IF(AND(C26=O13,E9=O56),K7-54-3,0))))))</f>
        <v>669</v>
      </c>
      <c r="F26" s="59">
        <f>IF(D26&lt;&gt;0,$E$10,0)</f>
        <v>0</v>
      </c>
      <c r="G26" s="60">
        <f>IF(D26&lt;&gt;0,1,0)</f>
        <v>0</v>
      </c>
      <c r="H26" s="85" t="s">
        <v>60</v>
      </c>
      <c r="I26" s="48" t="s">
        <v>61</v>
      </c>
      <c r="J26" s="98">
        <f>IF(J25&gt;0,K12*2,0)</f>
        <v>8</v>
      </c>
      <c r="K26" s="127"/>
      <c r="O26" s="24">
        <v>1</v>
      </c>
    </row>
    <row r="27" spans="2:15" s="31" customFormat="1" ht="20.100000000000001" customHeight="1" thickBot="1" x14ac:dyDescent="0.3">
      <c r="B27" s="85" t="s">
        <v>31</v>
      </c>
      <c r="C27" s="18" t="s">
        <v>36</v>
      </c>
      <c r="D27" s="20">
        <v>0</v>
      </c>
      <c r="E27" s="58">
        <f>IF(AND(C27=O11,E9=O55),K7-36,IF(AND(C27=O11,E9=O56),K7-54,
IF(AND(C27=O12,E9=O55),K7-36-2,IF(AND(C27=O12,E9=O56),K7-54-2,
IF(AND(C27=O13,E9=O55),K7-36-3,IF(AND(C27=O13,E9=O56),K7-54-3,0))))))</f>
        <v>669</v>
      </c>
      <c r="F27" s="59">
        <f>IF(D27&lt;&gt;0,$E$10,0)</f>
        <v>0</v>
      </c>
      <c r="G27" s="60">
        <f>IF(D27&lt;&gt;0,1,0)</f>
        <v>0</v>
      </c>
      <c r="H27" s="44" t="s">
        <v>118</v>
      </c>
      <c r="I27" s="68" t="s">
        <v>37</v>
      </c>
      <c r="J27" s="119">
        <f>K15*2</f>
        <v>0</v>
      </c>
      <c r="K27" s="120"/>
      <c r="O27" s="24">
        <v>2</v>
      </c>
    </row>
    <row r="28" spans="2:15" s="31" customFormat="1" ht="20.100000000000001" customHeight="1" x14ac:dyDescent="0.25">
      <c r="B28" s="85" t="s">
        <v>32</v>
      </c>
      <c r="C28" s="18" t="s">
        <v>36</v>
      </c>
      <c r="D28" s="20">
        <v>0</v>
      </c>
      <c r="E28" s="58">
        <f>IF(AND(C28=O11,E9=O55),K7-36,IF(AND(C28=O11,E9=O56),K7-54,
IF(AND(C28=O12,E9=O55),K7-36-2,IF(AND(C28=O12,E9=O56),K7-54-2,
IF(AND(C28=O13,E9=O55),K7-36-3,IF(AND(C28=O13,E9=O56),K7-54-3,0))))))</f>
        <v>669</v>
      </c>
      <c r="F28" s="59">
        <f>IF(D28&lt;&gt;0,$E$10,0)</f>
        <v>0</v>
      </c>
      <c r="G28" s="60">
        <f>IF(D28&lt;&gt;0,1,0)</f>
        <v>0</v>
      </c>
      <c r="M28" s="75"/>
      <c r="O28" s="24">
        <v>3</v>
      </c>
    </row>
    <row r="29" spans="2:15" s="31" customFormat="1" ht="20.100000000000001" customHeight="1" thickBot="1" x14ac:dyDescent="0.35">
      <c r="B29" s="63" t="s">
        <v>33</v>
      </c>
      <c r="C29" s="21" t="s">
        <v>36</v>
      </c>
      <c r="D29" s="22">
        <v>0</v>
      </c>
      <c r="E29" s="64">
        <f>IF(AND(C29=O11,E9=O55),K7-36,IF(AND(C29=O11,E9=O56),K7-54,
IF(AND(C29=O12,E9=O55),K7-36-2,IF(AND(C29=O12,E9=O56),K7-54-2,
IF(AND(C29=O13,E9=O55),K7-36-3,IF(AND(C29=O13,E9=O56),K7-54-3,0))))))</f>
        <v>669</v>
      </c>
      <c r="F29" s="65">
        <f>IF(D29&lt;&gt;0,$E$10,0)</f>
        <v>0</v>
      </c>
      <c r="G29" s="60">
        <f>IF(D29&lt;&gt;0,1,0)</f>
        <v>0</v>
      </c>
      <c r="H29" s="30"/>
      <c r="I29" s="30"/>
      <c r="J29" s="30"/>
      <c r="K29" s="79" t="s">
        <v>15</v>
      </c>
      <c r="L29" s="76"/>
      <c r="O29" s="24">
        <v>4</v>
      </c>
    </row>
    <row r="30" spans="2:15" ht="20.100000000000001" customHeight="1" x14ac:dyDescent="0.3">
      <c r="B30" s="31"/>
      <c r="C30" s="31"/>
      <c r="D30" s="31"/>
      <c r="E30" s="31"/>
      <c r="F30" s="31"/>
      <c r="G30" s="31"/>
      <c r="L30" s="77"/>
    </row>
    <row r="31" spans="2:15" ht="20.100000000000001" customHeight="1" x14ac:dyDescent="0.3">
      <c r="B31" s="31"/>
      <c r="C31" s="28" t="str">
        <f>IF((SUM(G25:G29)/C21)&lt;&gt;1,O17,O18)</f>
        <v>Верно внесены высоты вставок</v>
      </c>
      <c r="D31" s="87">
        <f>IF(C31=O18,1,0)</f>
        <v>1</v>
      </c>
      <c r="E31" s="31"/>
      <c r="F31" s="31"/>
      <c r="G31" s="31"/>
      <c r="M31" s="31">
        <f>IF(C25=$O$11,((D25*E25*F25/$E$10)/1000000)*8,IF(C25=$O$12,((D25*E25*F25/$E$10)/1000000)*6.5,((D25*E25*F25/$E$10)/1000000)*11))</f>
        <v>18.419577</v>
      </c>
    </row>
    <row r="32" spans="2:15" ht="21" customHeight="1" x14ac:dyDescent="0.3">
      <c r="B32" s="31"/>
      <c r="C32" s="31"/>
      <c r="D32" s="31"/>
      <c r="E32" s="31"/>
      <c r="F32" s="31"/>
      <c r="G32" s="31"/>
      <c r="M32" s="31">
        <f>IF(C26=$O$11,((D26*E26*F26/$E$10)/1000000)*8,IF(C26=$O$12,((D26*E26*F26/$E$10)/1000000)*6.5,((D26*E26*F26/$E$10)/1000000)*11))</f>
        <v>0</v>
      </c>
    </row>
    <row r="33" spans="2:15" ht="20.100000000000001" customHeight="1" x14ac:dyDescent="0.3">
      <c r="B33" s="31"/>
      <c r="C33" s="96" t="str">
        <f>IF(AND(SUM(G25:G29)/C21=1,D29=0,C21&lt;&gt;1),O21,O22)</f>
        <v xml:space="preserve"> </v>
      </c>
      <c r="D33" s="96"/>
      <c r="E33" s="31"/>
      <c r="F33" s="31"/>
      <c r="G33" s="31"/>
      <c r="M33" s="31">
        <f>IF(C27=$O$11,((D27*E27*F27/$E$10)/1000000)*8,IF(C27=$O$12,((D27*E27*F27/$E$10)/1000000)*6.5,((D27*E27*F27/$E$10)/1000000)*11))</f>
        <v>0</v>
      </c>
      <c r="O33" s="23" t="s">
        <v>34</v>
      </c>
    </row>
    <row r="34" spans="2:15" ht="20.100000000000001" customHeight="1" thickBot="1" x14ac:dyDescent="0.35">
      <c r="B34" s="31"/>
      <c r="C34" s="31"/>
      <c r="D34" s="31"/>
      <c r="G34" s="31"/>
      <c r="M34" s="31">
        <f>IF(C28=$O$11,((D28*E28*F28/$E$10)/1000000)*8,IF(C28=$O$12,((D28*E28*F28/$E$10)/1000000)*6.5,((D28*E28*F28/$E$10)/1000000)*11))</f>
        <v>0</v>
      </c>
      <c r="O34" s="23" t="s">
        <v>36</v>
      </c>
    </row>
    <row r="35" spans="2:15" ht="20.100000000000001" customHeight="1" thickBot="1" x14ac:dyDescent="0.35">
      <c r="B35" s="31"/>
      <c r="D35" s="67"/>
      <c r="E35" s="69" t="s">
        <v>74</v>
      </c>
      <c r="F35" s="70">
        <f>ROUNDUP(M38,0)</f>
        <v>23</v>
      </c>
      <c r="G35" s="31"/>
      <c r="M35" s="31">
        <f>IF(C29=$O$11,((D29*E29*F29/$E$10)/1000000)*8,IF(C29=$O$12,((D29*E29*F29/$E$10)/1000000)*6.5,((D29*E29*F29/$E$10)/1000000)*11))</f>
        <v>0</v>
      </c>
    </row>
    <row r="36" spans="2:15" ht="20.100000000000001" customHeight="1" thickBot="1" x14ac:dyDescent="0.35">
      <c r="B36" s="31"/>
      <c r="C36" s="31"/>
      <c r="D36" s="31"/>
      <c r="E36" s="30"/>
      <c r="F36" s="30"/>
      <c r="G36" s="31"/>
      <c r="M36" s="46">
        <f>SUM(M31:M35)</f>
        <v>18.419577</v>
      </c>
      <c r="O36" s="30" t="s">
        <v>50</v>
      </c>
    </row>
    <row r="37" spans="2:15" ht="19.5" thickBot="1" x14ac:dyDescent="0.35">
      <c r="B37" s="31"/>
      <c r="E37" s="31"/>
      <c r="F37" s="31"/>
      <c r="G37" s="31"/>
      <c r="M37" s="31"/>
      <c r="O37" s="31" t="s">
        <v>51</v>
      </c>
    </row>
    <row r="38" spans="2:15" ht="19.5" thickBot="1" x14ac:dyDescent="0.35">
      <c r="G38" s="31"/>
      <c r="L38" s="56" t="s">
        <v>72</v>
      </c>
      <c r="M38" s="57">
        <f>(M36+M18)*1.05</f>
        <v>22.455748350000004</v>
      </c>
    </row>
    <row r="39" spans="2:15" x14ac:dyDescent="0.3">
      <c r="D39" s="30"/>
      <c r="E39" s="30"/>
      <c r="F39" s="30"/>
      <c r="G39" s="31"/>
    </row>
    <row r="40" spans="2:15" x14ac:dyDescent="0.3">
      <c r="G40" s="31"/>
    </row>
    <row r="41" spans="2:15" x14ac:dyDescent="0.3">
      <c r="G41" s="31"/>
      <c r="O41" s="30" t="s">
        <v>51</v>
      </c>
    </row>
    <row r="42" spans="2:15" x14ac:dyDescent="0.3">
      <c r="G42" s="31"/>
      <c r="O42" s="30" t="s">
        <v>53</v>
      </c>
    </row>
    <row r="46" spans="2:15" x14ac:dyDescent="0.3">
      <c r="O46" s="26" t="s">
        <v>55</v>
      </c>
    </row>
    <row r="47" spans="2:15" x14ac:dyDescent="0.3">
      <c r="O47" s="27" t="s">
        <v>56</v>
      </c>
    </row>
    <row r="48" spans="2:15" x14ac:dyDescent="0.3">
      <c r="O48" s="26"/>
    </row>
    <row r="50" spans="15:16" x14ac:dyDescent="0.3">
      <c r="O50" s="30" t="s">
        <v>69</v>
      </c>
    </row>
    <row r="51" spans="15:16" x14ac:dyDescent="0.3">
      <c r="O51" s="30" t="s">
        <v>13</v>
      </c>
    </row>
    <row r="55" spans="15:16" x14ac:dyDescent="0.3">
      <c r="O55" s="30" t="s">
        <v>81</v>
      </c>
      <c r="P55" s="30">
        <f>ROUNDUP(IF(AND(OR(E15=O48,E15=O47),E8=O6),(E7-20+E11*25)/E10,
IF(AND(OR(E15=O48,E15=O47),E8&lt;&gt;O6),(E7-10+E11*25)/E10,(E7+E11*25)/E10)),0)</f>
        <v>708</v>
      </c>
    </row>
    <row r="56" spans="15:16" x14ac:dyDescent="0.3">
      <c r="O56" s="30" t="s">
        <v>82</v>
      </c>
      <c r="P56" s="30">
        <f>ROUNDUP(IF(AND(OR(E15=O48,E15=O47),E8=O6),(E7-20+E11*35)/E10,
IF(AND(OR(E15=O48,E15=O47),E8&lt;&gt;O6),(E7-10+E11*35)/E10,(E7+E11*35)/E10)),0)</f>
        <v>713</v>
      </c>
    </row>
    <row r="63" spans="15:16" x14ac:dyDescent="0.3">
      <c r="O63" s="30" t="s">
        <v>87</v>
      </c>
    </row>
    <row r="64" spans="15:16" x14ac:dyDescent="0.3">
      <c r="O64" s="30" t="s">
        <v>88</v>
      </c>
    </row>
    <row r="69" spans="15:16" x14ac:dyDescent="0.3">
      <c r="O69" s="91" t="s">
        <v>92</v>
      </c>
      <c r="P69" s="43" t="s">
        <v>145</v>
      </c>
    </row>
    <row r="70" spans="15:16" x14ac:dyDescent="0.3">
      <c r="O70" s="91" t="s">
        <v>93</v>
      </c>
      <c r="P70" s="43" t="s">
        <v>146</v>
      </c>
    </row>
  </sheetData>
  <sheetProtection algorithmName="SHA-512" hashValue="nzubIIg/Uq6CaIfJy5LWmbuItRQBR7HWLUZajp7b+yUBJMR/qLznjdtEaPhi8Gj5YKQ82VfKoRXDAMXFcljPdw==" saltValue="z8wH6VIvlIgXcn81U43TIA==" spinCount="100000" sheet="1" selectLockedCells="1"/>
  <mergeCells count="35">
    <mergeCell ref="C33:D33"/>
    <mergeCell ref="J27:K27"/>
    <mergeCell ref="J23:K23"/>
    <mergeCell ref="J24:K24"/>
    <mergeCell ref="J25:K25"/>
    <mergeCell ref="J26:K26"/>
    <mergeCell ref="J20:K20"/>
    <mergeCell ref="J21:K21"/>
    <mergeCell ref="J22:K22"/>
    <mergeCell ref="J18:K18"/>
    <mergeCell ref="J19:K19"/>
    <mergeCell ref="B15:D15"/>
    <mergeCell ref="E15:F15"/>
    <mergeCell ref="B13:D13"/>
    <mergeCell ref="E13:F13"/>
    <mergeCell ref="B14:D14"/>
    <mergeCell ref="E14:F14"/>
    <mergeCell ref="B11:D11"/>
    <mergeCell ref="E11:F11"/>
    <mergeCell ref="B12:D12"/>
    <mergeCell ref="E12:F12"/>
    <mergeCell ref="B8:D8"/>
    <mergeCell ref="E8:F8"/>
    <mergeCell ref="B9:D9"/>
    <mergeCell ref="E9:F9"/>
    <mergeCell ref="B10:D10"/>
    <mergeCell ref="E10:F10"/>
    <mergeCell ref="B2:K2"/>
    <mergeCell ref="B4:E4"/>
    <mergeCell ref="H4:K4"/>
    <mergeCell ref="B6:D6"/>
    <mergeCell ref="E6:F6"/>
    <mergeCell ref="H6:I7"/>
    <mergeCell ref="B7:D7"/>
    <mergeCell ref="E7:F7"/>
  </mergeCells>
  <conditionalFormatting sqref="C31">
    <cfRule type="expression" dxfId="2" priority="4">
      <formula>$C$31=$O$17</formula>
    </cfRule>
    <cfRule type="expression" dxfId="1" priority="5">
      <formula>$C$31=$O$18</formula>
    </cfRule>
  </conditionalFormatting>
  <conditionalFormatting sqref="C33">
    <cfRule type="expression" dxfId="0" priority="6">
      <formula>$C$33=$O$21</formula>
    </cfRule>
  </conditionalFormatting>
  <dataValidations count="9">
    <dataValidation type="list" allowBlank="1" showInputMessage="1" showErrorMessage="1" sqref="E12:F12">
      <formula1>$O$63:$O$64</formula1>
    </dataValidation>
    <dataValidation type="list" allowBlank="1" showInputMessage="1" showErrorMessage="1" sqref="E9:F9">
      <formula1>$O$55:$O$56</formula1>
    </dataValidation>
    <dataValidation type="list" allowBlank="1" showInputMessage="1" showErrorMessage="1" sqref="E15:F15">
      <formula1>$O$46:$O$47</formula1>
    </dataValidation>
    <dataValidation type="list" allowBlank="1" showInputMessage="1" showErrorMessage="1" sqref="C25:C29">
      <formula1>$O$11:$O$13</formula1>
    </dataValidation>
    <dataValidation type="list" allowBlank="1" showInputMessage="1" showErrorMessage="1" sqref="E8">
      <formula1>$O$3:$O$7</formula1>
    </dataValidation>
    <dataValidation type="list" operator="greaterThan" allowBlank="1" showInputMessage="1" showErrorMessage="1" sqref="E13">
      <formula1>$O$25:$O$29</formula1>
    </dataValidation>
    <dataValidation type="whole" allowBlank="1" showInputMessage="1" showErrorMessage="1" sqref="E10">
      <formula1>1</formula1>
      <formula2>5</formula2>
    </dataValidation>
    <dataValidation type="whole" allowBlank="1" showInputMessage="1" showErrorMessage="1" sqref="E11">
      <formula1>1</formula1>
      <formula2>4</formula2>
    </dataValidation>
    <dataValidation type="list" allowBlank="1" showInputMessage="1" showErrorMessage="1" sqref="E14:F14">
      <formula1>$O$41:$O$42</formula1>
    </dataValidation>
  </dataValidations>
  <hyperlinks>
    <hyperlink ref="K29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E9DC93A-0282-4346-9D30-273E8D9CDC6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Оглавление</vt:lpstr>
      <vt:lpstr>Раздвижные двери</vt:lpstr>
      <vt:lpstr>Распашные двери</vt:lpstr>
      <vt:lpstr>Эконом</vt:lpstr>
      <vt:lpstr>'Раздвижные двери'!Область_печати</vt:lpstr>
      <vt:lpstr>'Распашные двери'!Область_печати</vt:lpstr>
      <vt:lpstr>Эконом!Область_печати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2020-10-27T13:10:28Z</dcterms:modified>
</cp:coreProperties>
</file>