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AlgorithmName="SHA-512" workbookHashValue="bDWWyLRToW44HAJ2sSK4tf1iQQQcj8RGRC+qhueSHBXkVY/4qUWWnXKh+Dy+vYdafNEKKepxLsFU0JvNtbqR4w==" workbookSaltValue="7rAhPlF8iHjKxoxU/C7gqA==" workbookSpinCount="100000" lockStructure="1"/>
  <bookViews>
    <workbookView xWindow="0" yWindow="0" windowWidth="18996" windowHeight="8904" tabRatio="874"/>
  </bookViews>
  <sheets>
    <sheet name="Стеллажная" sheetId="1" r:id="rId1"/>
  </sheets>
  <definedNames>
    <definedName name="_xlnm.Print_Area" localSheetId="0">Стеллажная!$B$3:$L$22</definedName>
  </definedNames>
  <calcPr calcId="162913"/>
</workbook>
</file>

<file path=xl/calcChain.xml><?xml version="1.0" encoding="utf-8"?>
<calcChain xmlns="http://schemas.openxmlformats.org/spreadsheetml/2006/main">
  <c r="K29" i="1" l="1"/>
  <c r="K28" i="1"/>
  <c r="K25" i="1"/>
  <c r="L19" i="1"/>
  <c r="L18" i="1"/>
  <c r="L17" i="1"/>
  <c r="L16" i="1"/>
  <c r="L15" i="1"/>
  <c r="M20" i="1"/>
  <c r="L20" i="1"/>
  <c r="K19" i="1"/>
  <c r="K18" i="1"/>
  <c r="K17" i="1"/>
  <c r="K16" i="1"/>
  <c r="K14" i="1"/>
  <c r="K13" i="1"/>
  <c r="K12" i="1"/>
  <c r="K11" i="1"/>
  <c r="L8" i="1"/>
  <c r="K23" i="1" s="1"/>
  <c r="L14" i="1"/>
  <c r="L13" i="1"/>
  <c r="L12" i="1"/>
  <c r="L11" i="1"/>
  <c r="L10" i="1"/>
  <c r="K20" i="1"/>
  <c r="K9" i="1"/>
  <c r="L9" i="1" s="1"/>
  <c r="K27" i="1" s="1"/>
  <c r="K8" i="1"/>
  <c r="K26" i="1" l="1"/>
  <c r="K31" i="1"/>
  <c r="K32" i="1" s="1"/>
  <c r="K24" i="1"/>
  <c r="M8" i="1"/>
  <c r="C17" i="1"/>
  <c r="C20" i="1" s="1"/>
  <c r="K10" i="1" l="1"/>
  <c r="K15" i="1"/>
  <c r="M15" i="1" s="1"/>
  <c r="M10" i="1" l="1"/>
  <c r="K30" i="1"/>
</calcChain>
</file>

<file path=xl/sharedStrings.xml><?xml version="1.0" encoding="utf-8"?>
<sst xmlns="http://schemas.openxmlformats.org/spreadsheetml/2006/main" count="83" uniqueCount="71">
  <si>
    <t>Профили:</t>
  </si>
  <si>
    <t>размер</t>
  </si>
  <si>
    <t>количество</t>
  </si>
  <si>
    <t>Фурнитура:</t>
  </si>
  <si>
    <t>РЕЗУЛЬТАТ РАСЧЁТА</t>
  </si>
  <si>
    <t>ВВОД ИСХОДНЫХ ДАННЫХ ДЛЯ РАСЧЁТА</t>
  </si>
  <si>
    <t>артикул</t>
  </si>
  <si>
    <t>Профиль несущий</t>
  </si>
  <si>
    <t>SA0195.VP540</t>
  </si>
  <si>
    <t>Кол-во хлыстов</t>
  </si>
  <si>
    <t>Кол-во деталей</t>
  </si>
  <si>
    <t>Выберите вариант установки стеллажной</t>
  </si>
  <si>
    <t>пол-потолок</t>
  </si>
  <si>
    <t>пол-стена</t>
  </si>
  <si>
    <t>SA0198.VP540</t>
  </si>
  <si>
    <t>SA0196.VP540</t>
  </si>
  <si>
    <t>SA0199.VP540</t>
  </si>
  <si>
    <t>Полкодержатель</t>
  </si>
  <si>
    <t>Количество секций</t>
  </si>
  <si>
    <t>Высота проема</t>
  </si>
  <si>
    <t>Ширина проема</t>
  </si>
  <si>
    <t>Секция 1</t>
  </si>
  <si>
    <t>Кол-во двухуровневых обувниц</t>
  </si>
  <si>
    <t>Кол-во штанг</t>
  </si>
  <si>
    <t>Ширина секции</t>
  </si>
  <si>
    <t>Секция 2</t>
  </si>
  <si>
    <t>Секция 3</t>
  </si>
  <si>
    <t>Секция 4</t>
  </si>
  <si>
    <t>Секция 5</t>
  </si>
  <si>
    <t>Расчет Стеллажной системы</t>
  </si>
  <si>
    <t>Ширина конструкции</t>
  </si>
  <si>
    <t>Штанга секция 1</t>
  </si>
  <si>
    <t>Штанга секция 2</t>
  </si>
  <si>
    <t>Штанга секция 3</t>
  </si>
  <si>
    <t>Штанга секция 4</t>
  </si>
  <si>
    <t>Штанга секция 5</t>
  </si>
  <si>
    <t>Штанга для обуви секция 1</t>
  </si>
  <si>
    <t>Штанга для обуви секция 2</t>
  </si>
  <si>
    <t>Штанга для обуви секция 3</t>
  </si>
  <si>
    <t>Штанга для обуви секция 4</t>
  </si>
  <si>
    <t>Штанга для обуви секция 5</t>
  </si>
  <si>
    <t>Ножка регулируемая</t>
  </si>
  <si>
    <t>SA0020.VP000</t>
  </si>
  <si>
    <t>Крепление стеновое</t>
  </si>
  <si>
    <t>SA0032.VP000</t>
  </si>
  <si>
    <t>Крепление полкодержателя</t>
  </si>
  <si>
    <t>SA0023.VP000</t>
  </si>
  <si>
    <t>Штангодержатель</t>
  </si>
  <si>
    <t>SA0021.VP000</t>
  </si>
  <si>
    <t>Соединитель 90° несущего профиля</t>
  </si>
  <si>
    <t>SA0029.VP000</t>
  </si>
  <si>
    <t>Заглушка несущего профиля</t>
  </si>
  <si>
    <t>SA0030.VP000</t>
  </si>
  <si>
    <t>Заглушки полкодержателя</t>
  </si>
  <si>
    <t>SA0022.VR000</t>
  </si>
  <si>
    <t>Уплотнитель для штанги</t>
  </si>
  <si>
    <t>SA0033.VM100</t>
  </si>
  <si>
    <t>Держатель штанги для обуви</t>
  </si>
  <si>
    <t>SA0026.AP000</t>
  </si>
  <si>
    <t>Заглушка штанги для обуви</t>
  </si>
  <si>
    <t>SA0261.AP000</t>
  </si>
  <si>
    <t>пол-потолок зонирование</t>
  </si>
  <si>
    <t>Глубина конструкции</t>
  </si>
  <si>
    <t>Количество полок ЛДСП, общее</t>
  </si>
  <si>
    <t>Количество стеклянных полок, общее</t>
  </si>
  <si>
    <t>Количество тумб для ящиков, общее*</t>
  </si>
  <si>
    <t>* тумба - это каркас под вкладные ящики или открытая секция</t>
  </si>
  <si>
    <t>Укажите высоту конструкции (высота от пола до края профиля)</t>
  </si>
  <si>
    <t>Пол-потолок</t>
  </si>
  <si>
    <t>Пол-стена</t>
  </si>
  <si>
    <t>Пол-потолок зонирование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</si>
</sst>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&quot; мм&quot;"/>
    <numFmt numFmtId="165" formatCode="#,##0&quot; м&quot;"/>
    <numFmt numFmtId="166" formatCode="#,##0&quot; шт.&quot;"/>
    <numFmt numFmtId="167" formatCode="#,##0&quot; комп.&quot;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theme="1"/>
      <name val="Candara"/>
      <family val="2"/>
      <charset val="204"/>
    </font>
    <font>
      <sz val="14"/>
      <name val="Calibri"/>
      <family val="2"/>
      <charset val="204"/>
      <scheme val="minor"/>
    </font>
    <font>
      <sz val="14"/>
      <name val="Calibri"/>
      <family val="2"/>
      <scheme val="minor"/>
    </font>
    <font>
      <b/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164" fontId="2" fillId="0" borderId="1" xfId="0" applyNumberFormat="1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right" vertical="center"/>
    </xf>
    <xf numFmtId="166" fontId="9" fillId="0" borderId="0" xfId="0" applyNumberFormat="1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4" fontId="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1" fillId="0" borderId="0" xfId="0" applyFont="1" applyFill="1" applyProtection="1"/>
    <xf numFmtId="0" fontId="0" fillId="0" borderId="0" xfId="0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Protection="1"/>
    <xf numFmtId="164" fontId="4" fillId="0" borderId="0" xfId="0" applyNumberFormat="1" applyFont="1" applyFill="1" applyBorder="1" applyAlignment="1" applyProtection="1">
      <alignment vertical="center" wrapText="1"/>
    </xf>
    <xf numFmtId="167" fontId="2" fillId="0" borderId="0" xfId="0" applyNumberFormat="1" applyFont="1" applyFill="1" applyBorder="1" applyAlignment="1" applyProtection="1">
      <alignment vertical="center" wrapText="1"/>
    </xf>
    <xf numFmtId="166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164" fontId="4" fillId="2" borderId="1" xfId="0" applyNumberFormat="1" applyFont="1" applyFill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/>
    </xf>
    <xf numFmtId="164" fontId="2" fillId="0" borderId="4" xfId="0" applyNumberFormat="1" applyFont="1" applyBorder="1" applyAlignment="1" applyProtection="1">
      <alignment horizontal="center" vertical="center"/>
    </xf>
    <xf numFmtId="167" fontId="11" fillId="0" borderId="1" xfId="0" applyNumberFormat="1" applyFont="1" applyBorder="1" applyAlignment="1" applyProtection="1">
      <alignment horizontal="center" vertical="center" wrapText="1"/>
    </xf>
    <xf numFmtId="166" fontId="11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/>
    </xf>
    <xf numFmtId="166" fontId="2" fillId="0" borderId="1" xfId="0" applyNumberFormat="1" applyFont="1" applyFill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/>
    </xf>
    <xf numFmtId="166" fontId="11" fillId="0" borderId="1" xfId="0" applyNumberFormat="1" applyFont="1" applyBorder="1" applyAlignment="1" applyProtection="1">
      <alignment horizontal="center" vertical="center"/>
    </xf>
    <xf numFmtId="165" fontId="11" fillId="0" borderId="1" xfId="0" applyNumberFormat="1" applyFont="1" applyBorder="1" applyAlignment="1" applyProtection="1">
      <alignment horizontal="center" vertical="center" wrapText="1"/>
    </xf>
    <xf numFmtId="167" fontId="11" fillId="0" borderId="1" xfId="0" applyNumberFormat="1" applyFont="1" applyBorder="1" applyAlignment="1" applyProtection="1">
      <alignment horizontal="center" vertical="center"/>
    </xf>
    <xf numFmtId="167" fontId="2" fillId="0" borderId="1" xfId="0" applyNumberFormat="1" applyFont="1" applyBorder="1" applyAlignment="1" applyProtection="1">
      <alignment horizontal="center" vertical="center"/>
    </xf>
    <xf numFmtId="0" fontId="1" fillId="0" borderId="6" xfId="0" applyFont="1" applyBorder="1" applyProtection="1"/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/>
    </xf>
    <xf numFmtId="0" fontId="1" fillId="0" borderId="9" xfId="0" applyFont="1" applyBorder="1" applyProtection="1"/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Protection="1"/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/>
    </xf>
    <xf numFmtId="166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</xf>
    <xf numFmtId="166" fontId="2" fillId="0" borderId="1" xfId="0" applyNumberFormat="1" applyFont="1" applyBorder="1" applyAlignment="1" applyProtection="1">
      <alignment horizontal="center" vertical="center" wrapText="1"/>
    </xf>
    <xf numFmtId="164" fontId="1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7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914398</xdr:colOff>
      <xdr:row>29</xdr:row>
      <xdr:rowOff>54427</xdr:rowOff>
    </xdr:from>
    <xdr:to>
      <xdr:col>6</xdr:col>
      <xdr:colOff>953764</xdr:colOff>
      <xdr:row>54</xdr:row>
      <xdr:rowOff>152400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6884" y="7347856"/>
          <a:ext cx="2042337" cy="5812973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29</xdr:row>
      <xdr:rowOff>10886</xdr:rowOff>
    </xdr:from>
    <xdr:to>
      <xdr:col>1</xdr:col>
      <xdr:colOff>2423337</xdr:colOff>
      <xdr:row>54</xdr:row>
      <xdr:rowOff>3761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829" y="7293429"/>
          <a:ext cx="2042337" cy="5707875"/>
        </a:xfrm>
        <a:prstGeom prst="rect">
          <a:avLst/>
        </a:prstGeom>
      </xdr:spPr>
    </xdr:pic>
    <xdr:clientData/>
  </xdr:twoCellAnchor>
  <xdr:twoCellAnchor editAs="oneCell">
    <xdr:from>
      <xdr:col>2</xdr:col>
      <xdr:colOff>41144</xdr:colOff>
      <xdr:row>28</xdr:row>
      <xdr:rowOff>73800</xdr:rowOff>
    </xdr:from>
    <xdr:to>
      <xdr:col>4</xdr:col>
      <xdr:colOff>80509</xdr:colOff>
      <xdr:row>53</xdr:row>
      <xdr:rowOff>188605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0658" y="7127743"/>
          <a:ext cx="2042337" cy="5829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AH55"/>
  <sheetViews>
    <sheetView tabSelected="1" zoomScale="70" zoomScaleNormal="70" workbookViewId="0">
      <selection activeCell="F7" sqref="F7:G7"/>
    </sheetView>
  </sheetViews>
  <sheetFormatPr defaultColWidth="9.109375" defaultRowHeight="18" x14ac:dyDescent="0.35"/>
  <cols>
    <col min="1" max="1" width="3" style="9" customWidth="1"/>
    <col min="2" max="2" width="43.44140625" style="9" customWidth="1"/>
    <col min="3" max="6" width="14.6640625" style="8" customWidth="1"/>
    <col min="7" max="7" width="16.44140625" style="8" customWidth="1"/>
    <col min="8" max="8" width="2.6640625" style="9" customWidth="1"/>
    <col min="9" max="9" width="57.33203125" style="9" customWidth="1"/>
    <col min="10" max="10" width="20.109375" style="9" customWidth="1"/>
    <col min="11" max="11" width="16.6640625" style="9" customWidth="1"/>
    <col min="12" max="13" width="19.5546875" style="9" customWidth="1"/>
    <col min="14" max="14" width="9.109375" style="9" customWidth="1"/>
    <col min="15" max="15" width="21" style="9" hidden="1" customWidth="1"/>
    <col min="16" max="18" width="9.109375" style="9" customWidth="1"/>
    <col min="19" max="19" width="18.109375" style="9" customWidth="1"/>
    <col min="20" max="20" width="25.88671875" style="9" customWidth="1"/>
    <col min="21" max="21" width="29.5546875" style="9" customWidth="1"/>
    <col min="22" max="25" width="9.109375" style="9" customWidth="1"/>
    <col min="26" max="26" width="22" style="9" customWidth="1"/>
    <col min="27" max="27" width="19.77734375" style="9" customWidth="1"/>
    <col min="28" max="31" width="9.109375" style="9" customWidth="1"/>
    <col min="32" max="32" width="14.77734375" style="9" customWidth="1"/>
    <col min="33" max="33" width="9.109375" style="9" customWidth="1"/>
    <col min="34" max="16384" width="9.109375" style="9"/>
  </cols>
  <sheetData>
    <row r="1" spans="2:34" x14ac:dyDescent="0.35">
      <c r="B1" s="7"/>
      <c r="T1" s="11"/>
      <c r="U1" s="10"/>
    </row>
    <row r="2" spans="2:34" s="10" customFormat="1" ht="27.6" customHeight="1" x14ac:dyDescent="0.3">
      <c r="B2" s="74" t="s">
        <v>29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T2" s="11"/>
    </row>
    <row r="3" spans="2:34" s="11" customFormat="1" ht="26.1" customHeight="1" x14ac:dyDescent="0.3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2:34" s="11" customFormat="1" ht="20.100000000000001" customHeight="1" x14ac:dyDescent="0.35">
      <c r="B4" s="12"/>
      <c r="C4" s="12"/>
      <c r="D4" s="12"/>
      <c r="E4" s="12"/>
      <c r="F4" s="12"/>
      <c r="G4" s="12"/>
      <c r="I4" s="13"/>
      <c r="J4" s="13"/>
      <c r="K4" s="13"/>
      <c r="L4" s="13"/>
      <c r="T4" s="14"/>
    </row>
    <row r="5" spans="2:34" s="11" customFormat="1" ht="20.100000000000001" customHeight="1" x14ac:dyDescent="0.3">
      <c r="B5" s="73" t="s">
        <v>5</v>
      </c>
      <c r="C5" s="73"/>
      <c r="D5" s="73"/>
      <c r="E5" s="73"/>
      <c r="F5" s="73"/>
      <c r="G5" s="73"/>
      <c r="I5" s="73" t="s">
        <v>4</v>
      </c>
      <c r="J5" s="73"/>
      <c r="K5" s="73"/>
      <c r="L5" s="73"/>
      <c r="M5" s="73"/>
      <c r="T5" s="14"/>
    </row>
    <row r="6" spans="2:34" s="10" customFormat="1" ht="20.100000000000001" customHeight="1" x14ac:dyDescent="0.3">
      <c r="B6" s="15"/>
      <c r="C6" s="15"/>
      <c r="D6" s="15"/>
      <c r="E6" s="15"/>
      <c r="F6" s="15"/>
      <c r="G6" s="15"/>
      <c r="H6" s="11"/>
      <c r="I6" s="15"/>
      <c r="J6" s="15"/>
      <c r="K6" s="15"/>
      <c r="L6" s="15"/>
      <c r="T6" s="14"/>
    </row>
    <row r="7" spans="2:34" s="10" customFormat="1" ht="20.100000000000001" customHeight="1" x14ac:dyDescent="0.3">
      <c r="B7" s="63" t="s">
        <v>19</v>
      </c>
      <c r="C7" s="64"/>
      <c r="D7" s="64"/>
      <c r="E7" s="65"/>
      <c r="F7" s="72">
        <v>2600</v>
      </c>
      <c r="G7" s="72"/>
      <c r="I7" s="30" t="s">
        <v>0</v>
      </c>
      <c r="J7" s="31" t="s">
        <v>6</v>
      </c>
      <c r="K7" s="32" t="s">
        <v>1</v>
      </c>
      <c r="L7" s="33" t="s">
        <v>10</v>
      </c>
      <c r="M7" s="32" t="s">
        <v>9</v>
      </c>
    </row>
    <row r="8" spans="2:34" s="10" customFormat="1" ht="21.6" customHeight="1" x14ac:dyDescent="0.3">
      <c r="B8" s="63" t="s">
        <v>20</v>
      </c>
      <c r="C8" s="64"/>
      <c r="D8" s="64"/>
      <c r="E8" s="65"/>
      <c r="F8" s="72">
        <v>1970</v>
      </c>
      <c r="G8" s="72"/>
      <c r="I8" s="34" t="s">
        <v>7</v>
      </c>
      <c r="J8" s="35" t="s">
        <v>8</v>
      </c>
      <c r="K8" s="42">
        <f xml:space="preserve"> IF(OR(F10=O10,F10=O12),F7-90,F11-45)</f>
        <v>2505</v>
      </c>
      <c r="L8" s="43">
        <f>IF(F10=O12,(F12+1)*2,F12+1)</f>
        <v>4</v>
      </c>
      <c r="M8" s="75">
        <f>ROUNDUP((K8*L8+K9*L9+5*SUM(L8:L9))/5300,0)</f>
        <v>3</v>
      </c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</row>
    <row r="9" spans="2:34" s="10" customFormat="1" ht="20.100000000000001" customHeight="1" x14ac:dyDescent="0.3">
      <c r="B9" s="63" t="s">
        <v>62</v>
      </c>
      <c r="C9" s="64"/>
      <c r="D9" s="64"/>
      <c r="E9" s="65"/>
      <c r="F9" s="72">
        <v>450</v>
      </c>
      <c r="G9" s="72"/>
      <c r="I9" s="34" t="s">
        <v>7</v>
      </c>
      <c r="J9" s="35" t="s">
        <v>8</v>
      </c>
      <c r="K9" s="42">
        <f>IF(OR(F10=O10,F10=O11),F9/2-27,0)</f>
        <v>198</v>
      </c>
      <c r="L9" s="43">
        <f>IF(K9&lt;&gt;0,IF(OR(F10=O10,F10=O12),ROUNDUP(F7/1000,0)*L8,ROUNDUP(F11/1000,0)*L8),0)</f>
        <v>12</v>
      </c>
      <c r="M9" s="75"/>
    </row>
    <row r="10" spans="2:34" s="10" customFormat="1" ht="20.100000000000001" customHeight="1" x14ac:dyDescent="0.3">
      <c r="B10" s="66" t="s">
        <v>11</v>
      </c>
      <c r="C10" s="67"/>
      <c r="D10" s="67"/>
      <c r="E10" s="68"/>
      <c r="F10" s="76" t="s">
        <v>13</v>
      </c>
      <c r="G10" s="76"/>
      <c r="I10" s="34" t="s">
        <v>31</v>
      </c>
      <c r="J10" s="35" t="s">
        <v>14</v>
      </c>
      <c r="K10" s="42">
        <f>IF(C22&lt;&gt;0,C20-4,0)</f>
        <v>0</v>
      </c>
      <c r="L10" s="43">
        <f>C22</f>
        <v>0</v>
      </c>
      <c r="M10" s="61">
        <f>ROUNDUP((K10*L10+K11*L11+K12*L12+K13*L13+K14*L14+5*SUM(L10:L14))/5300,0)</f>
        <v>1</v>
      </c>
      <c r="O10" s="10" t="s">
        <v>12</v>
      </c>
      <c r="T10" s="2"/>
    </row>
    <row r="11" spans="2:34" s="10" customFormat="1" ht="20.100000000000001" customHeight="1" x14ac:dyDescent="0.3">
      <c r="B11" s="66" t="s">
        <v>67</v>
      </c>
      <c r="C11" s="67"/>
      <c r="D11" s="67"/>
      <c r="E11" s="68"/>
      <c r="F11" s="72">
        <v>2550</v>
      </c>
      <c r="G11" s="72"/>
      <c r="I11" s="34" t="s">
        <v>32</v>
      </c>
      <c r="J11" s="35" t="s">
        <v>14</v>
      </c>
      <c r="K11" s="42">
        <f>IF(AND($F$12&gt;1,D22&lt;&gt;0),D20-4,0)</f>
        <v>596</v>
      </c>
      <c r="L11" s="43">
        <f>IF(F12&gt;1,D22,0)</f>
        <v>1</v>
      </c>
      <c r="M11" s="61"/>
      <c r="O11" s="10" t="s">
        <v>13</v>
      </c>
      <c r="T11" s="2"/>
    </row>
    <row r="12" spans="2:34" s="10" customFormat="1" ht="20.100000000000001" customHeight="1" x14ac:dyDescent="0.3">
      <c r="B12" s="69" t="s">
        <v>18</v>
      </c>
      <c r="C12" s="70"/>
      <c r="D12" s="70"/>
      <c r="E12" s="71"/>
      <c r="F12" s="77">
        <v>3</v>
      </c>
      <c r="G12" s="77"/>
      <c r="I12" s="34" t="s">
        <v>33</v>
      </c>
      <c r="J12" s="35" t="s">
        <v>14</v>
      </c>
      <c r="K12" s="42">
        <f>IF(AND($F$12&gt;2,E22&lt;&gt;0),E20-4,0)</f>
        <v>0</v>
      </c>
      <c r="L12" s="43">
        <f>IF(F12&gt;2,E22,0)</f>
        <v>0</v>
      </c>
      <c r="M12" s="61"/>
      <c r="O12" s="10" t="s">
        <v>61</v>
      </c>
      <c r="T12" s="2"/>
      <c r="X12" s="18"/>
      <c r="Y12" s="18"/>
      <c r="Z12" s="18"/>
      <c r="AA12" s="18"/>
      <c r="AB12" s="18"/>
      <c r="AC12" s="18"/>
      <c r="AD12" s="18"/>
      <c r="AE12" s="18"/>
    </row>
    <row r="13" spans="2:34" s="10" customFormat="1" ht="20.100000000000001" customHeight="1" x14ac:dyDescent="0.3">
      <c r="B13" s="66" t="s">
        <v>63</v>
      </c>
      <c r="C13" s="67"/>
      <c r="D13" s="67"/>
      <c r="E13" s="68"/>
      <c r="F13" s="62">
        <v>6</v>
      </c>
      <c r="G13" s="62"/>
      <c r="I13" s="34" t="s">
        <v>34</v>
      </c>
      <c r="J13" s="35" t="s">
        <v>14</v>
      </c>
      <c r="K13" s="42">
        <f>IF(AND($F$12&gt;3,F22&lt;&gt;0),F20-4,0)</f>
        <v>0</v>
      </c>
      <c r="L13" s="43">
        <f>IF(F12&gt;3,F22,0)</f>
        <v>0</v>
      </c>
      <c r="M13" s="61"/>
      <c r="X13" s="18"/>
      <c r="Y13" s="18"/>
      <c r="Z13" s="18"/>
      <c r="AA13" s="18"/>
      <c r="AB13" s="18"/>
      <c r="AC13" s="18"/>
      <c r="AD13" s="18"/>
      <c r="AE13" s="18"/>
    </row>
    <row r="14" spans="2:34" s="10" customFormat="1" ht="20.100000000000001" customHeight="1" x14ac:dyDescent="0.3">
      <c r="B14" s="66" t="s">
        <v>64</v>
      </c>
      <c r="C14" s="67"/>
      <c r="D14" s="67"/>
      <c r="E14" s="68"/>
      <c r="F14" s="62">
        <v>6</v>
      </c>
      <c r="G14" s="62"/>
      <c r="I14" s="34" t="s">
        <v>35</v>
      </c>
      <c r="J14" s="35" t="s">
        <v>14</v>
      </c>
      <c r="K14" s="42">
        <f>IF(AND($F$12&gt;4,G22&lt;&gt;0),G20-4,0)</f>
        <v>0</v>
      </c>
      <c r="L14" s="43">
        <f>IF(F12&gt;4,G22,0)</f>
        <v>0</v>
      </c>
      <c r="M14" s="61"/>
      <c r="X14" s="18"/>
      <c r="Y14" s="18"/>
      <c r="Z14" s="18"/>
      <c r="AA14" s="18"/>
      <c r="AB14" s="18"/>
      <c r="AC14" s="18"/>
      <c r="AD14" s="18"/>
      <c r="AE14" s="18"/>
    </row>
    <row r="15" spans="2:34" s="10" customFormat="1" ht="20.100000000000001" customHeight="1" x14ac:dyDescent="0.3">
      <c r="B15" s="66" t="s">
        <v>65</v>
      </c>
      <c r="C15" s="67"/>
      <c r="D15" s="67"/>
      <c r="E15" s="68"/>
      <c r="F15" s="62">
        <v>2</v>
      </c>
      <c r="G15" s="62"/>
      <c r="I15" s="19" t="s">
        <v>36</v>
      </c>
      <c r="J15" s="16" t="s">
        <v>16</v>
      </c>
      <c r="K15" s="1">
        <f>IF(C21&lt;&gt;0,C20+42,0)</f>
        <v>0</v>
      </c>
      <c r="L15" s="44">
        <f>C21*2</f>
        <v>0</v>
      </c>
      <c r="M15" s="61">
        <f>ROUNDUP((K15*L15+K16*L16+K17*L17+K18*L18+K19*L19+5*SUM(L15:L19))/5300,0)</f>
        <v>1</v>
      </c>
    </row>
    <row r="16" spans="2:34" s="10" customFormat="1" ht="20.100000000000001" customHeight="1" thickBot="1" x14ac:dyDescent="0.35">
      <c r="B16" s="23"/>
      <c r="C16" s="23"/>
      <c r="D16" s="23"/>
      <c r="E16" s="23"/>
      <c r="F16" s="23"/>
      <c r="G16" s="23"/>
      <c r="I16" s="19" t="s">
        <v>37</v>
      </c>
      <c r="J16" s="16" t="s">
        <v>16</v>
      </c>
      <c r="K16" s="1">
        <f>IF(AND($F$12&gt;1,D21&lt;&gt;0),D20+42,0)</f>
        <v>642</v>
      </c>
      <c r="L16" s="44">
        <f>IF(F12&gt;1,D21*2,0)</f>
        <v>4</v>
      </c>
      <c r="M16" s="61"/>
    </row>
    <row r="17" spans="2:20" s="10" customFormat="1" ht="20.100000000000001" customHeight="1" thickBot="1" x14ac:dyDescent="0.4">
      <c r="B17" s="38" t="s">
        <v>30</v>
      </c>
      <c r="C17" s="39">
        <f>F8-50</f>
        <v>1920</v>
      </c>
      <c r="I17" s="19" t="s">
        <v>38</v>
      </c>
      <c r="J17" s="16" t="s">
        <v>16</v>
      </c>
      <c r="K17" s="1">
        <f>IF(AND($F$12&gt;2,E21&lt;&gt;0),E20+42,0)</f>
        <v>0</v>
      </c>
      <c r="L17" s="44">
        <f>IF(F12&gt;2,E21*2,0)</f>
        <v>0</v>
      </c>
      <c r="M17" s="61"/>
      <c r="T17" s="9"/>
    </row>
    <row r="18" spans="2:20" s="10" customFormat="1" ht="20.100000000000001" customHeight="1" x14ac:dyDescent="0.35">
      <c r="I18" s="19" t="s">
        <v>39</v>
      </c>
      <c r="J18" s="16" t="s">
        <v>16</v>
      </c>
      <c r="K18" s="1">
        <f>IF(AND($F$12&gt;3,F21&lt;&gt;0),F20+42,0)</f>
        <v>0</v>
      </c>
      <c r="L18" s="44">
        <f>IF(F12&gt;3,F21*2,0)</f>
        <v>0</v>
      </c>
      <c r="M18" s="61"/>
      <c r="T18" s="9"/>
    </row>
    <row r="19" spans="2:20" s="10" customFormat="1" ht="20.100000000000001" customHeight="1" x14ac:dyDescent="0.3">
      <c r="B19" s="23"/>
      <c r="C19" s="28" t="s">
        <v>21</v>
      </c>
      <c r="D19" s="28" t="s">
        <v>25</v>
      </c>
      <c r="E19" s="28" t="s">
        <v>26</v>
      </c>
      <c r="F19" s="28" t="s">
        <v>27</v>
      </c>
      <c r="G19" s="28" t="s">
        <v>28</v>
      </c>
      <c r="I19" s="19" t="s">
        <v>40</v>
      </c>
      <c r="J19" s="16" t="s">
        <v>16</v>
      </c>
      <c r="K19" s="1">
        <f>IF(AND($F$12&gt;4,G21&lt;&gt;0),G20+42,0)</f>
        <v>0</v>
      </c>
      <c r="L19" s="44">
        <f>IF(F12&gt;4,G21*2,0)</f>
        <v>0</v>
      </c>
      <c r="M19" s="61"/>
    </row>
    <row r="20" spans="2:20" s="10" customFormat="1" ht="20.100000000000001" customHeight="1" x14ac:dyDescent="0.3">
      <c r="B20" s="29" t="s">
        <v>24</v>
      </c>
      <c r="C20" s="42">
        <f>IF(F12=1,C17-60,IF(F12=2,C17-90-D20,IF(F12=3,C17-120-SUM(D20:E20),IF(F12=4,C17-150-SUM(D20:F20),C17-180-SUM(D20:G20)))))</f>
        <v>600</v>
      </c>
      <c r="D20" s="21">
        <v>600</v>
      </c>
      <c r="E20" s="21">
        <v>600</v>
      </c>
      <c r="F20" s="21">
        <v>0</v>
      </c>
      <c r="G20" s="21">
        <v>0</v>
      </c>
      <c r="I20" s="19" t="s">
        <v>17</v>
      </c>
      <c r="J20" s="16" t="s">
        <v>15</v>
      </c>
      <c r="K20" s="1">
        <f>F9</f>
        <v>450</v>
      </c>
      <c r="L20" s="44">
        <f>F13*2+F15*4</f>
        <v>20</v>
      </c>
      <c r="M20" s="44">
        <f>ROUNDUP(K20*L20/5300,0)</f>
        <v>2</v>
      </c>
    </row>
    <row r="21" spans="2:20" s="10" customFormat="1" ht="20.100000000000001" customHeight="1" x14ac:dyDescent="0.3">
      <c r="B21" s="29" t="s">
        <v>22</v>
      </c>
      <c r="C21" s="27">
        <v>0</v>
      </c>
      <c r="D21" s="27">
        <v>2</v>
      </c>
      <c r="E21" s="27">
        <v>0</v>
      </c>
      <c r="F21" s="27">
        <v>0</v>
      </c>
      <c r="G21" s="27">
        <v>0</v>
      </c>
      <c r="T21" s="3"/>
    </row>
    <row r="22" spans="2:20" s="10" customFormat="1" ht="20.100000000000001" customHeight="1" x14ac:dyDescent="0.3">
      <c r="B22" s="29" t="s">
        <v>23</v>
      </c>
      <c r="C22" s="27">
        <v>0</v>
      </c>
      <c r="D22" s="27">
        <v>1</v>
      </c>
      <c r="E22" s="27">
        <v>0</v>
      </c>
      <c r="F22" s="27">
        <v>0</v>
      </c>
      <c r="G22" s="27">
        <v>0</v>
      </c>
      <c r="I22" s="36" t="s">
        <v>3</v>
      </c>
      <c r="J22" s="31" t="s">
        <v>6</v>
      </c>
      <c r="K22" s="37" t="s">
        <v>2</v>
      </c>
      <c r="T22" s="3"/>
    </row>
    <row r="23" spans="2:20" x14ac:dyDescent="0.35">
      <c r="H23" s="10"/>
      <c r="I23" s="20" t="s">
        <v>41</v>
      </c>
      <c r="J23" s="17" t="s">
        <v>42</v>
      </c>
      <c r="K23" s="40">
        <f>IF(F10=O11,L8,L8*2)</f>
        <v>4</v>
      </c>
      <c r="T23" s="10"/>
    </row>
    <row r="24" spans="2:20" x14ac:dyDescent="0.35">
      <c r="H24" s="10"/>
      <c r="I24" s="20" t="s">
        <v>43</v>
      </c>
      <c r="J24" s="6" t="s">
        <v>44</v>
      </c>
      <c r="K24" s="45">
        <f>L9</f>
        <v>12</v>
      </c>
    </row>
    <row r="25" spans="2:20" x14ac:dyDescent="0.35">
      <c r="B25" s="9" t="s">
        <v>66</v>
      </c>
      <c r="H25" s="10"/>
      <c r="I25" s="20" t="s">
        <v>45</v>
      </c>
      <c r="J25" s="6" t="s">
        <v>46</v>
      </c>
      <c r="K25" s="47">
        <f>L20+F14*2</f>
        <v>32</v>
      </c>
      <c r="T25" s="5"/>
    </row>
    <row r="26" spans="2:20" ht="18.600000000000001" thickBot="1" x14ac:dyDescent="0.4">
      <c r="I26" s="20" t="s">
        <v>47</v>
      </c>
      <c r="J26" s="17" t="s">
        <v>48</v>
      </c>
      <c r="K26" s="40">
        <f>SUM(L10:L14)*2</f>
        <v>2</v>
      </c>
      <c r="L26" s="25"/>
      <c r="T26" s="4"/>
    </row>
    <row r="27" spans="2:20" x14ac:dyDescent="0.35">
      <c r="B27" s="49"/>
      <c r="C27" s="50"/>
      <c r="D27" s="50"/>
      <c r="E27" s="50"/>
      <c r="F27" s="50"/>
      <c r="G27" s="51"/>
      <c r="I27" s="20" t="s">
        <v>49</v>
      </c>
      <c r="J27" s="17" t="s">
        <v>50</v>
      </c>
      <c r="K27" s="41">
        <f>L9</f>
        <v>12</v>
      </c>
      <c r="L27" s="26"/>
    </row>
    <row r="28" spans="2:20" x14ac:dyDescent="0.35">
      <c r="B28" s="52" t="s">
        <v>68</v>
      </c>
      <c r="C28" s="59" t="s">
        <v>69</v>
      </c>
      <c r="D28" s="59"/>
      <c r="E28" s="53"/>
      <c r="F28" s="59" t="s">
        <v>70</v>
      </c>
      <c r="G28" s="60"/>
      <c r="I28" s="20" t="s">
        <v>51</v>
      </c>
      <c r="J28" s="17" t="s">
        <v>52</v>
      </c>
      <c r="K28" s="41">
        <f>IF(F10=O11,L8,0)</f>
        <v>4</v>
      </c>
      <c r="L28" s="24"/>
    </row>
    <row r="29" spans="2:20" x14ac:dyDescent="0.35">
      <c r="B29" s="54"/>
      <c r="C29" s="53"/>
      <c r="D29" s="53"/>
      <c r="E29" s="53"/>
      <c r="F29" s="53"/>
      <c r="G29" s="55"/>
      <c r="I29" s="20" t="s">
        <v>53</v>
      </c>
      <c r="J29" s="17" t="s">
        <v>54</v>
      </c>
      <c r="K29" s="40">
        <f>IF(F10=O12,L20,L20/2)</f>
        <v>10</v>
      </c>
      <c r="L29" s="24"/>
    </row>
    <row r="30" spans="2:20" x14ac:dyDescent="0.35">
      <c r="B30" s="54"/>
      <c r="C30" s="53"/>
      <c r="D30" s="53"/>
      <c r="E30" s="53"/>
      <c r="F30" s="53"/>
      <c r="G30" s="55"/>
      <c r="I30" s="20" t="s">
        <v>55</v>
      </c>
      <c r="J30" s="17" t="s">
        <v>56</v>
      </c>
      <c r="K30" s="46">
        <f>ROUNDUP((K10*L10+K11*L11+K12*L12+K13*L13+K14*L14)/1000*1.1,0)</f>
        <v>1</v>
      </c>
      <c r="L30" s="24"/>
    </row>
    <row r="31" spans="2:20" x14ac:dyDescent="0.35">
      <c r="B31" s="54"/>
      <c r="C31" s="53"/>
      <c r="D31" s="53"/>
      <c r="E31" s="53"/>
      <c r="F31" s="53"/>
      <c r="G31" s="55"/>
      <c r="I31" s="20" t="s">
        <v>57</v>
      </c>
      <c r="J31" s="6" t="s">
        <v>58</v>
      </c>
      <c r="K31" s="47">
        <f>SUM(L15:L19)</f>
        <v>4</v>
      </c>
    </row>
    <row r="32" spans="2:20" x14ac:dyDescent="0.35">
      <c r="B32" s="54"/>
      <c r="C32" s="53"/>
      <c r="D32" s="53"/>
      <c r="E32" s="53"/>
      <c r="F32" s="53"/>
      <c r="G32" s="55"/>
      <c r="I32" s="20" t="s">
        <v>59</v>
      </c>
      <c r="J32" s="6" t="s">
        <v>60</v>
      </c>
      <c r="K32" s="48">
        <f>K31</f>
        <v>4</v>
      </c>
    </row>
    <row r="33" spans="2:7" x14ac:dyDescent="0.35">
      <c r="B33" s="54"/>
      <c r="C33" s="53"/>
      <c r="D33" s="53"/>
      <c r="E33" s="53"/>
      <c r="F33" s="53"/>
      <c r="G33" s="55"/>
    </row>
    <row r="34" spans="2:7" x14ac:dyDescent="0.35">
      <c r="B34" s="54"/>
      <c r="C34" s="53"/>
      <c r="D34" s="53"/>
      <c r="E34" s="53"/>
      <c r="F34" s="53"/>
      <c r="G34" s="55"/>
    </row>
    <row r="35" spans="2:7" x14ac:dyDescent="0.35">
      <c r="B35" s="54"/>
      <c r="C35" s="53"/>
      <c r="D35" s="53"/>
      <c r="E35" s="53"/>
      <c r="F35" s="53"/>
      <c r="G35" s="55"/>
    </row>
    <row r="36" spans="2:7" x14ac:dyDescent="0.35">
      <c r="B36" s="54"/>
      <c r="C36" s="53"/>
      <c r="D36" s="53"/>
      <c r="E36" s="53"/>
      <c r="F36" s="53"/>
      <c r="G36" s="55"/>
    </row>
    <row r="37" spans="2:7" x14ac:dyDescent="0.35">
      <c r="B37" s="54"/>
      <c r="C37" s="53"/>
      <c r="D37" s="53"/>
      <c r="E37" s="53"/>
      <c r="F37" s="53"/>
      <c r="G37" s="55"/>
    </row>
    <row r="38" spans="2:7" x14ac:dyDescent="0.35">
      <c r="B38" s="54"/>
      <c r="C38" s="53"/>
      <c r="D38" s="53"/>
      <c r="E38" s="53"/>
      <c r="F38" s="53"/>
      <c r="G38" s="55"/>
    </row>
    <row r="39" spans="2:7" x14ac:dyDescent="0.35">
      <c r="B39" s="54"/>
      <c r="C39" s="53"/>
      <c r="D39" s="53"/>
      <c r="E39" s="53"/>
      <c r="F39" s="53"/>
      <c r="G39" s="55"/>
    </row>
    <row r="40" spans="2:7" x14ac:dyDescent="0.35">
      <c r="B40" s="54"/>
      <c r="C40" s="53"/>
      <c r="D40" s="53"/>
      <c r="E40" s="53"/>
      <c r="F40" s="53"/>
      <c r="G40" s="55"/>
    </row>
    <row r="41" spans="2:7" x14ac:dyDescent="0.35">
      <c r="B41" s="54"/>
      <c r="C41" s="53"/>
      <c r="D41" s="53"/>
      <c r="E41" s="53"/>
      <c r="F41" s="53"/>
      <c r="G41" s="55"/>
    </row>
    <row r="42" spans="2:7" x14ac:dyDescent="0.35">
      <c r="B42" s="54"/>
      <c r="C42" s="53"/>
      <c r="D42" s="53"/>
      <c r="E42" s="53"/>
      <c r="F42" s="53"/>
      <c r="G42" s="55"/>
    </row>
    <row r="43" spans="2:7" x14ac:dyDescent="0.35">
      <c r="B43" s="54"/>
      <c r="C43" s="53"/>
      <c r="D43" s="53"/>
      <c r="E43" s="53"/>
      <c r="F43" s="53"/>
      <c r="G43" s="55"/>
    </row>
    <row r="44" spans="2:7" x14ac:dyDescent="0.35">
      <c r="B44" s="54"/>
      <c r="C44" s="53"/>
      <c r="D44" s="53"/>
      <c r="E44" s="53"/>
      <c r="F44" s="53"/>
      <c r="G44" s="55"/>
    </row>
    <row r="45" spans="2:7" x14ac:dyDescent="0.35">
      <c r="B45" s="54"/>
      <c r="C45" s="53"/>
      <c r="D45" s="53"/>
      <c r="E45" s="53"/>
      <c r="F45" s="53"/>
      <c r="G45" s="55"/>
    </row>
    <row r="46" spans="2:7" x14ac:dyDescent="0.35">
      <c r="B46" s="54"/>
      <c r="C46" s="53"/>
      <c r="D46" s="53"/>
      <c r="E46" s="53"/>
      <c r="F46" s="53"/>
      <c r="G46" s="55"/>
    </row>
    <row r="47" spans="2:7" x14ac:dyDescent="0.35">
      <c r="B47" s="54"/>
      <c r="C47" s="53"/>
      <c r="D47" s="53"/>
      <c r="E47" s="53"/>
      <c r="F47" s="53"/>
      <c r="G47" s="55"/>
    </row>
    <row r="48" spans="2:7" x14ac:dyDescent="0.35">
      <c r="B48" s="54"/>
      <c r="C48" s="53"/>
      <c r="D48" s="53"/>
      <c r="E48" s="53"/>
      <c r="F48" s="53"/>
      <c r="G48" s="55"/>
    </row>
    <row r="49" spans="2:7" x14ac:dyDescent="0.35">
      <c r="B49" s="54"/>
      <c r="C49" s="53"/>
      <c r="D49" s="53"/>
      <c r="E49" s="53"/>
      <c r="F49" s="53"/>
      <c r="G49" s="55"/>
    </row>
    <row r="50" spans="2:7" x14ac:dyDescent="0.35">
      <c r="B50" s="54"/>
      <c r="C50" s="53"/>
      <c r="D50" s="53"/>
      <c r="E50" s="53"/>
      <c r="F50" s="53"/>
      <c r="G50" s="55"/>
    </row>
    <row r="51" spans="2:7" x14ac:dyDescent="0.35">
      <c r="B51" s="54"/>
      <c r="C51" s="53"/>
      <c r="D51" s="53"/>
      <c r="E51" s="53"/>
      <c r="F51" s="53"/>
      <c r="G51" s="55"/>
    </row>
    <row r="52" spans="2:7" x14ac:dyDescent="0.35">
      <c r="B52" s="54"/>
      <c r="C52" s="53"/>
      <c r="D52" s="53"/>
      <c r="E52" s="53"/>
      <c r="F52" s="53"/>
      <c r="G52" s="55"/>
    </row>
    <row r="53" spans="2:7" x14ac:dyDescent="0.35">
      <c r="B53" s="54"/>
      <c r="C53" s="53"/>
      <c r="D53" s="53"/>
      <c r="E53" s="53"/>
      <c r="F53" s="53"/>
      <c r="G53" s="55"/>
    </row>
    <row r="54" spans="2:7" x14ac:dyDescent="0.35">
      <c r="B54" s="54"/>
      <c r="C54" s="53"/>
      <c r="D54" s="53"/>
      <c r="E54" s="53"/>
      <c r="F54" s="53"/>
      <c r="G54" s="55"/>
    </row>
    <row r="55" spans="2:7" ht="18.600000000000001" thickBot="1" x14ac:dyDescent="0.4">
      <c r="B55" s="56"/>
      <c r="C55" s="57"/>
      <c r="D55" s="57"/>
      <c r="E55" s="57"/>
      <c r="F55" s="57"/>
      <c r="G55" s="58"/>
    </row>
  </sheetData>
  <sheetProtection algorithmName="SHA-512" hashValue="Mi/zpMAwzUppBnAe1ivb1QcZpUXXrrYyEh+Heeh984RrMn5Dg9kADi7Iqahy2MCURlfDR4ctZ8/KCJT1utrHzw==" saltValue="qsttXJ4pP5UnR/RaO68b9A==" spinCount="100000" sheet="1" objects="1" scenarios="1" selectLockedCells="1"/>
  <mergeCells count="26">
    <mergeCell ref="B2:M3"/>
    <mergeCell ref="I5:M5"/>
    <mergeCell ref="M8:M9"/>
    <mergeCell ref="B14:E14"/>
    <mergeCell ref="F14:G14"/>
    <mergeCell ref="F10:G10"/>
    <mergeCell ref="F11:G11"/>
    <mergeCell ref="F12:G12"/>
    <mergeCell ref="F7:G7"/>
    <mergeCell ref="F8:G8"/>
    <mergeCell ref="B5:G5"/>
    <mergeCell ref="B9:E9"/>
    <mergeCell ref="F9:G9"/>
    <mergeCell ref="B7:E7"/>
    <mergeCell ref="B8:E8"/>
    <mergeCell ref="B10:E10"/>
    <mergeCell ref="B11:E11"/>
    <mergeCell ref="B12:E12"/>
    <mergeCell ref="C28:D28"/>
    <mergeCell ref="F28:G28"/>
    <mergeCell ref="M10:M14"/>
    <mergeCell ref="M15:M19"/>
    <mergeCell ref="F13:G13"/>
    <mergeCell ref="F15:G15"/>
    <mergeCell ref="B13:E13"/>
    <mergeCell ref="B15:E15"/>
  </mergeCells>
  <conditionalFormatting sqref="B11:G11">
    <cfRule type="expression" dxfId="6" priority="8">
      <formula>OR($F$10=$O$10,$F$10=$O$12)</formula>
    </cfRule>
  </conditionalFormatting>
  <conditionalFormatting sqref="C20">
    <cfRule type="expression" dxfId="5" priority="5">
      <formula>$C$20&gt;1200</formula>
    </cfRule>
    <cfRule type="expression" dxfId="4" priority="6">
      <formula>$C$20&lt;200</formula>
    </cfRule>
  </conditionalFormatting>
  <conditionalFormatting sqref="G19:G22">
    <cfRule type="expression" dxfId="3" priority="4">
      <formula>$F$12&lt;5</formula>
    </cfRule>
  </conditionalFormatting>
  <conditionalFormatting sqref="F19:F22">
    <cfRule type="expression" dxfId="2" priority="3">
      <formula>$F$12&lt;4</formula>
    </cfRule>
  </conditionalFormatting>
  <conditionalFormatting sqref="E19:E22">
    <cfRule type="expression" dxfId="1" priority="2">
      <formula>$F$12&lt;3</formula>
    </cfRule>
  </conditionalFormatting>
  <conditionalFormatting sqref="D19:D22">
    <cfRule type="expression" dxfId="0" priority="1">
      <formula>$F$12&lt;2</formula>
    </cfRule>
  </conditionalFormatting>
  <dataValidations count="6">
    <dataValidation type="whole" allowBlank="1" showInputMessage="1" showErrorMessage="1" errorTitle="Неправильное количество" error="Максимально 5 секций" sqref="F12:G12">
      <formula1>1</formula1>
      <formula2>5</formula2>
    </dataValidation>
    <dataValidation type="custom" allowBlank="1" showInputMessage="1" showErrorMessage="1" errorTitle="Неправильная высота" error="Введите значение на 20 мм меньше высоты проема" sqref="F11:G11">
      <formula1>(F11+50)&lt;=F7</formula1>
    </dataValidation>
    <dataValidation type="list" allowBlank="1" showInputMessage="1" showErrorMessage="1" sqref="F10:G10">
      <formula1>$O$10:$O$12</formula1>
    </dataValidation>
    <dataValidation type="whole" allowBlank="1" showInputMessage="1" showErrorMessage="1" sqref="F9:G9">
      <formula1>170</formula1>
      <formula2>600</formula2>
    </dataValidation>
    <dataValidation type="whole" allowBlank="1" showInputMessage="1" showErrorMessage="1" errorTitle="Неправильное количество" error="Не более 4 шт" sqref="C22:G22">
      <formula1>0</formula1>
      <formula2>4</formula2>
    </dataValidation>
    <dataValidation type="whole" allowBlank="1" showInputMessage="1" showErrorMessage="1" errorTitle="Неправильное количество" error="Не более 10 шт" sqref="C21:G21">
      <formula1>0</formula1>
      <formula2>10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Стеллажная</vt:lpstr>
      <vt:lpstr>Стеллажная!Область_печати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2021-04-15T10:49:00Z</dcterms:modified>
</cp:coreProperties>
</file>