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zDynLEFi/p9tbDVH1PPrye3xf/UWsRpLc5EZX+jpdKFIvZOryjc7ppu+kqXV5csXXf3/R4tWSbm11d9nv7yGOQ==" workbookSaltValue="M/dwU3wrEBtKJo8B+0Wo7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Эко!$B$3:$K$36</definedName>
  </definedNames>
  <calcPr calcId="162913"/>
</workbook>
</file>

<file path=xl/calcChain.xml><?xml version="1.0" encoding="utf-8"?>
<calcChain xmlns="http://schemas.openxmlformats.org/spreadsheetml/2006/main">
  <c r="K10" i="7" l="1"/>
  <c r="K6" i="7"/>
  <c r="J22" i="7"/>
  <c r="H11" i="7"/>
  <c r="I12" i="8"/>
  <c r="K6" i="1" l="1"/>
  <c r="K11" i="1" l="1"/>
  <c r="I11" i="1"/>
  <c r="H11" i="1"/>
  <c r="J12" i="8" l="1"/>
  <c r="H12" i="8"/>
  <c r="I11" i="7"/>
  <c r="M10" i="7"/>
  <c r="J11" i="7"/>
  <c r="I12" i="1"/>
  <c r="H12" i="1"/>
  <c r="M16" i="1" s="1"/>
  <c r="M12" i="8" l="1"/>
  <c r="M13" i="7"/>
  <c r="M15" i="7"/>
  <c r="M12" i="7"/>
  <c r="M14" i="7"/>
  <c r="J24" i="8"/>
  <c r="J23" i="8"/>
  <c r="D25" i="8" l="1"/>
  <c r="K6" i="8"/>
  <c r="J20" i="8" l="1"/>
  <c r="J19" i="8"/>
  <c r="G29" i="8" l="1"/>
  <c r="G28" i="8"/>
  <c r="G27" i="8"/>
  <c r="G26" i="8"/>
  <c r="F26" i="8"/>
  <c r="J21" i="8"/>
  <c r="C21" i="8"/>
  <c r="K15" i="8"/>
  <c r="J11" i="8"/>
  <c r="M11" i="8" s="1"/>
  <c r="E11" i="8"/>
  <c r="M10" i="8"/>
  <c r="J10" i="8"/>
  <c r="E10" i="8"/>
  <c r="F29" i="8" s="1"/>
  <c r="J27" i="8" l="1"/>
  <c r="G25" i="8"/>
  <c r="C31" i="8" s="1"/>
  <c r="D31" i="8" s="1"/>
  <c r="K14" i="8"/>
  <c r="K16" i="8"/>
  <c r="F28" i="8"/>
  <c r="P55" i="8"/>
  <c r="K7" i="8" s="1"/>
  <c r="K13" i="8"/>
  <c r="F25" i="8"/>
  <c r="F27" i="8"/>
  <c r="P56" i="8"/>
  <c r="E29" i="8" l="1"/>
  <c r="M35" i="8" s="1"/>
  <c r="E27" i="8"/>
  <c r="M33" i="8" s="1"/>
  <c r="E25" i="8"/>
  <c r="E28" i="8"/>
  <c r="M34" i="8" s="1"/>
  <c r="E26" i="8"/>
  <c r="M32" i="8" s="1"/>
  <c r="C33" i="8"/>
  <c r="J13" i="8"/>
  <c r="M14" i="8" s="1"/>
  <c r="K12" i="8"/>
  <c r="M13" i="8" l="1"/>
  <c r="J25" i="8"/>
  <c r="J26" i="8" s="1"/>
  <c r="J16" i="8"/>
  <c r="M17" i="8" s="1"/>
  <c r="J14" i="8"/>
  <c r="M15" i="8" s="1"/>
  <c r="J15" i="8"/>
  <c r="M16" i="8" s="1"/>
  <c r="M31" i="8"/>
  <c r="M36" i="8" s="1"/>
  <c r="J22" i="8"/>
  <c r="M18" i="8" l="1"/>
  <c r="E10" i="7" l="1"/>
  <c r="J19" i="7" s="1"/>
  <c r="G30" i="7"/>
  <c r="G29" i="7"/>
  <c r="G28" i="7"/>
  <c r="G27" i="7"/>
  <c r="F27" i="7"/>
  <c r="C22" i="7"/>
  <c r="J10" i="7"/>
  <c r="F30" i="7"/>
  <c r="D26" i="7"/>
  <c r="J18" i="7" l="1"/>
  <c r="P55" i="7"/>
  <c r="P58" i="7"/>
  <c r="Q55" i="7"/>
  <c r="P57" i="7"/>
  <c r="P60" i="7"/>
  <c r="P56" i="7"/>
  <c r="P59" i="7"/>
  <c r="J26" i="7"/>
  <c r="K14" i="7"/>
  <c r="J28" i="7" s="1"/>
  <c r="J27" i="7"/>
  <c r="G26" i="7"/>
  <c r="C32" i="7" s="1"/>
  <c r="D32" i="7" s="1"/>
  <c r="K13" i="7"/>
  <c r="K15" i="7"/>
  <c r="F29" i="7"/>
  <c r="K12" i="7"/>
  <c r="F26" i="7"/>
  <c r="F28" i="7"/>
  <c r="J36" i="1"/>
  <c r="J35" i="1"/>
  <c r="K7" i="7" l="1"/>
  <c r="E27" i="7" s="1"/>
  <c r="M32" i="7" s="1"/>
  <c r="C34" i="7"/>
  <c r="E29" i="7"/>
  <c r="M34" i="7" s="1"/>
  <c r="E30" i="7"/>
  <c r="M35" i="7" s="1"/>
  <c r="E28" i="7"/>
  <c r="M33" i="7" s="1"/>
  <c r="E26" i="7"/>
  <c r="J20" i="7" s="1"/>
  <c r="K11" i="7"/>
  <c r="J21" i="1"/>
  <c r="J12" i="7" l="1"/>
  <c r="M17" i="7" s="1"/>
  <c r="M11" i="7"/>
  <c r="M16" i="7"/>
  <c r="J23" i="7"/>
  <c r="J24" i="7" s="1"/>
  <c r="J25" i="7"/>
  <c r="M31" i="7"/>
  <c r="M36" i="7" s="1"/>
  <c r="J21" i="7"/>
  <c r="K16" i="1"/>
  <c r="J15" i="7" l="1"/>
  <c r="M20" i="7" s="1"/>
  <c r="J14" i="7"/>
  <c r="M19" i="7" s="1"/>
  <c r="J13" i="7"/>
  <c r="M18" i="7" s="1"/>
  <c r="M21" i="7" l="1"/>
  <c r="M38" i="7" s="1"/>
  <c r="F36" i="7" s="1"/>
  <c r="D32" i="1"/>
  <c r="J12" i="1"/>
  <c r="F33" i="1"/>
  <c r="C28" i="1" l="1"/>
  <c r="E11" i="1" l="1"/>
  <c r="E10" i="1"/>
  <c r="G35" i="1"/>
  <c r="G34" i="1"/>
  <c r="G33" i="1"/>
  <c r="G32" i="1"/>
  <c r="P60" i="1" l="1"/>
  <c r="P58" i="1"/>
  <c r="P56" i="1"/>
  <c r="P59" i="1"/>
  <c r="P57" i="1"/>
  <c r="P55" i="1"/>
  <c r="J20" i="1"/>
  <c r="K17" i="1"/>
  <c r="K15" i="1"/>
  <c r="J29" i="1" s="1"/>
  <c r="K13" i="1"/>
  <c r="K12" i="1"/>
  <c r="M17" i="1" s="1"/>
  <c r="J27" i="1"/>
  <c r="J28" i="1"/>
  <c r="J37" i="1"/>
  <c r="F34" i="1"/>
  <c r="F36" i="1"/>
  <c r="F32" i="1"/>
  <c r="F35" i="1"/>
  <c r="K14" i="1"/>
  <c r="M15" i="1" l="1"/>
  <c r="M14" i="1"/>
  <c r="M13" i="1"/>
  <c r="M12" i="1"/>
  <c r="K7" i="1"/>
  <c r="J32" i="1"/>
  <c r="J34" i="1"/>
  <c r="J10" i="1"/>
  <c r="E32" i="1" l="1"/>
  <c r="E36" i="1"/>
  <c r="E34" i="1"/>
  <c r="M33" i="1" s="1"/>
  <c r="E35" i="1"/>
  <c r="M34" i="1" s="1"/>
  <c r="E33" i="1"/>
  <c r="M32" i="1" s="1"/>
  <c r="M35" i="1"/>
  <c r="J13" i="1"/>
  <c r="M18" i="1" s="1"/>
  <c r="J14" i="1" l="1"/>
  <c r="M19" i="1" s="1"/>
  <c r="J16" i="1"/>
  <c r="M21" i="1" s="1"/>
  <c r="J15" i="1"/>
  <c r="M20" i="1" s="1"/>
  <c r="J17" i="1"/>
  <c r="M22" i="1" s="1"/>
  <c r="M23" i="1" s="1"/>
  <c r="J11" i="1" l="1"/>
  <c r="J30" i="1" l="1"/>
  <c r="J31" i="1" s="1"/>
  <c r="J22" i="1"/>
  <c r="J33" i="1"/>
  <c r="M31" i="1" l="1"/>
  <c r="M36" i="1" s="1"/>
  <c r="J23" i="1"/>
  <c r="G31" i="1" l="1"/>
  <c r="C40" i="1" s="1"/>
  <c r="M38" i="1" l="1"/>
  <c r="F42" i="1" s="1"/>
  <c r="C38" i="1"/>
  <c r="D38" i="1" s="1"/>
  <c r="J25" i="1" l="1"/>
  <c r="J24" i="1"/>
  <c r="J26" i="1"/>
  <c r="M38" i="8"/>
  <c r="F35" i="8" s="1"/>
</calcChain>
</file>

<file path=xl/sharedStrings.xml><?xml version="1.0" encoding="utf-8"?>
<sst xmlns="http://schemas.openxmlformats.org/spreadsheetml/2006/main" count="393" uniqueCount="158">
  <si>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</si>
  <si>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</si>
  <si>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</si>
  <si>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</si>
  <si>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</si>
  <si>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</si>
  <si>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</si>
  <si>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</si>
  <si>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</si>
  <si>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</si>
  <si>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</si>
  <si>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</si>
  <si>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</si>
  <si>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</si>
  <si>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</si>
  <si>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</si>
  <si>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</si>
  <si>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</si>
  <si>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</si>
  <si>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</si>
  <si>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</si>
  <si>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</si>
  <si>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</si>
  <si>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</si>
  <si>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</si>
  <si>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</si>
  <si>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</si>
  <si>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</si>
  <si>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</si>
  <si>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</si>
  <si>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</si>
  <si>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</si>
  <si>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</si>
  <si>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</si>
  <si>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</si>
  <si>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</si>
  <si>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</si>
  <si>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</si>
  <si>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</si>
  <si>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</si>
  <si>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</si>
  <si>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</si>
  <si>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</si>
  <si>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</si>
  <si>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</si>
  <si>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</si>
  <si>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</si>
  <si>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</si>
  <si>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</si>
  <si>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</si>
  <si>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</si>
  <si>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</si>
  <si>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</si>
  <si>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</si>
  <si>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</si>
  <si>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</si>
  <si>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</si>
  <si>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</si>
  <si>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</si>
  <si>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</si>
  <si>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</si>
  <si>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</si>
  <si>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</si>
  <si>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</si>
  <si>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</si>
  <si>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</si>
  <si>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</si>
  <si>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</si>
  <si>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</si>
  <si>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</si>
  <si>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</si>
  <si>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</si>
  <si>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</si>
  <si>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</si>
  <si>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</si>
  <si>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</si>
  <si>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</si>
  <si>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</si>
  <si>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</si>
  <si>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</si>
  <si>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</si>
  <si>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</si>
  <si>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</si>
  <si>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</si>
  <si>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</si>
  <si>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</si>
  <si>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</si>
  <si>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</si>
  <si>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</si>
  <si>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</si>
  <si>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</si>
  <si>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</si>
  <si>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</si>
  <si>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</si>
  <si>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</si>
  <si>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</si>
  <si>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</si>
  <si>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</si>
  <si>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</si>
  <si>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</si>
  <si>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</si>
  <si>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</si>
  <si>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</si>
  <si>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</si>
  <si>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</si>
  <si>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</si>
  <si>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</si>
  <si>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</si>
  <si>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</si>
  <si>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</si>
  <si>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</si>
  <si>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</si>
  <si>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</si>
  <si>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</si>
  <si>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AS0046.VP540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</si>
  <si>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</si>
  <si>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</si>
  <si>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</si>
  <si>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</si>
  <si>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</si>
  <si>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</si>
  <si>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</si>
  <si>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</si>
  <si>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</si>
  <si>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</si>
  <si>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</si>
  <si>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</si>
  <si>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</si>
  <si>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</si>
  <si>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</si>
  <si>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</si>
  <si>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</si>
  <si>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</si>
  <si>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</si>
  <si>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</si>
  <si>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</si>
  <si>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</si>
  <si>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</si>
  <si>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</si>
  <si>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</si>
  <si>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</si>
  <si>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AE0704.VP480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</si>
  <si>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</si>
  <si>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</si>
  <si>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</si>
  <si>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</si>
  <si>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</si>
  <si>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</si>
  <si>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</si>
  <si>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</si>
  <si>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</si>
  <si>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</si>
  <si>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</si>
  <si>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</si>
  <si>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</si>
  <si>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</si>
  <si>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</si>
  <si>
    <t>Расчет раздвижных дверей системы Эко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</si>
</sst>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R74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3.109375" style="19" hidden="1" customWidth="1"/>
    <col min="16" max="16" width="35.6640625" style="19" hidden="1" customWidth="1"/>
    <col min="17" max="18" width="9.109375" style="19" hidden="1" customWidth="1"/>
    <col min="19" max="20" width="0" style="19" hidden="1" customWidth="1"/>
    <col min="21" max="16384" width="9.109375" style="19"/>
  </cols>
  <sheetData>
    <row r="1" spans="2:17" x14ac:dyDescent="0.35">
      <c r="B1" s="18"/>
      <c r="C1" s="18"/>
    </row>
    <row r="2" spans="2:17" s="20" customFormat="1" ht="27.6" customHeight="1" x14ac:dyDescent="0.3">
      <c r="B2" s="86" t="s">
        <v>92</v>
      </c>
      <c r="C2" s="86"/>
      <c r="D2" s="86"/>
      <c r="E2" s="86"/>
      <c r="F2" s="86"/>
      <c r="G2" s="86"/>
      <c r="H2" s="86"/>
      <c r="I2" s="86"/>
      <c r="J2" s="86"/>
      <c r="K2" s="86"/>
    </row>
    <row r="3" spans="2:17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  <c r="P3" s="21" t="s">
        <v>37</v>
      </c>
      <c r="Q3" s="20" t="s">
        <v>115</v>
      </c>
    </row>
    <row r="4" spans="2:17" s="21" customFormat="1" ht="20.100000000000001" customHeight="1" x14ac:dyDescent="0.3">
      <c r="B4" s="91" t="s">
        <v>11</v>
      </c>
      <c r="C4" s="91"/>
      <c r="D4" s="91"/>
      <c r="E4" s="91"/>
      <c r="F4" s="73"/>
      <c r="H4" s="91" t="s">
        <v>10</v>
      </c>
      <c r="I4" s="91"/>
      <c r="J4" s="91"/>
      <c r="K4" s="91"/>
      <c r="O4" s="24" t="s">
        <v>18</v>
      </c>
      <c r="P4" s="21" t="s">
        <v>106</v>
      </c>
      <c r="Q4" s="20" t="s">
        <v>116</v>
      </c>
    </row>
    <row r="5" spans="2:17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7" s="20" customFormat="1" ht="20.100000000000001" customHeight="1" x14ac:dyDescent="0.3">
      <c r="B6" s="122" t="s">
        <v>0</v>
      </c>
      <c r="C6" s="123"/>
      <c r="D6" s="123"/>
      <c r="E6" s="100">
        <v>2600</v>
      </c>
      <c r="F6" s="101"/>
      <c r="H6" s="92" t="s">
        <v>7</v>
      </c>
      <c r="I6" s="93"/>
      <c r="J6" s="26" t="s">
        <v>5</v>
      </c>
      <c r="K6" s="1">
        <f>IF(E15=O37,E6-45,E6-39)</f>
        <v>2555</v>
      </c>
      <c r="O6" s="24" t="s">
        <v>20</v>
      </c>
    </row>
    <row r="7" spans="2:17" s="20" customFormat="1" ht="20.100000000000001" customHeight="1" thickBot="1" x14ac:dyDescent="0.35">
      <c r="B7" s="124" t="s">
        <v>14</v>
      </c>
      <c r="C7" s="125"/>
      <c r="D7" s="125"/>
      <c r="E7" s="102">
        <v>1400</v>
      </c>
      <c r="F7" s="103"/>
      <c r="H7" s="94"/>
      <c r="I7" s="95"/>
      <c r="J7" s="27" t="s">
        <v>6</v>
      </c>
      <c r="K7" s="2">
        <f>IF(E9=O55,P55,IF(E9=O56,P56,IF(E9=O57,P57,IF(E9=O58,P58,IF(E9=O59,P59,IF(E9=O60,P60,0))))))</f>
        <v>708</v>
      </c>
      <c r="O7" s="24" t="s">
        <v>21</v>
      </c>
    </row>
    <row r="8" spans="2:17" s="20" customFormat="1" ht="20.100000000000001" customHeight="1" thickBot="1" x14ac:dyDescent="0.35">
      <c r="B8" s="126" t="s">
        <v>107</v>
      </c>
      <c r="C8" s="127"/>
      <c r="D8" s="127"/>
      <c r="E8" s="102" t="s">
        <v>17</v>
      </c>
      <c r="F8" s="103"/>
      <c r="H8" s="28"/>
      <c r="I8" s="28"/>
      <c r="J8" s="29"/>
      <c r="K8" s="3"/>
    </row>
    <row r="9" spans="2:17" s="20" customFormat="1" ht="20.100000000000001" customHeight="1" x14ac:dyDescent="0.3">
      <c r="B9" s="130" t="s">
        <v>63</v>
      </c>
      <c r="C9" s="131"/>
      <c r="D9" s="131"/>
      <c r="E9" s="128" t="s">
        <v>65</v>
      </c>
      <c r="F9" s="129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7" s="20" customFormat="1" ht="20.100000000000001" customHeight="1" x14ac:dyDescent="0.35">
      <c r="B10" s="126" t="s">
        <v>1</v>
      </c>
      <c r="C10" s="127"/>
      <c r="D10" s="127"/>
      <c r="E10" s="104">
        <f>IF(E8=O3,2,IF(E8=O4,3,IF(E8=O5,4,IF(E8=O6,4,IF(E8=O7,5)))))</f>
        <v>2</v>
      </c>
      <c r="F10" s="105"/>
      <c r="H10" s="69" t="s">
        <v>36</v>
      </c>
      <c r="I10" s="67" t="s">
        <v>114</v>
      </c>
      <c r="J10" s="68">
        <f>E7-2</f>
        <v>1398</v>
      </c>
      <c r="K10" s="70">
        <v>1</v>
      </c>
      <c r="L10" s="19"/>
      <c r="Q10" s="19"/>
    </row>
    <row r="11" spans="2:17" s="20" customFormat="1" ht="20.100000000000001" customHeight="1" x14ac:dyDescent="0.35">
      <c r="B11" s="126" t="s">
        <v>91</v>
      </c>
      <c r="C11" s="127"/>
      <c r="D11" s="127"/>
      <c r="E11" s="104">
        <f>IF(E8=O3,1,IF(E8=O4,2,IF(E8=O5,3,IF(E8=O6,2,IF(E8=O7,4)))))</f>
        <v>1</v>
      </c>
      <c r="F11" s="105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E7-2</f>
        <v>1398</v>
      </c>
      <c r="K11" s="70">
        <f>IF(E15=O37,1,2)</f>
        <v>1</v>
      </c>
      <c r="L11" s="19"/>
      <c r="O11" s="13" t="s">
        <v>33</v>
      </c>
    </row>
    <row r="12" spans="2:17" s="20" customFormat="1" ht="20.100000000000001" customHeight="1" x14ac:dyDescent="0.35">
      <c r="B12" s="130" t="s">
        <v>73</v>
      </c>
      <c r="C12" s="131"/>
      <c r="D12" s="131"/>
      <c r="E12" s="128" t="s">
        <v>71</v>
      </c>
      <c r="F12" s="129"/>
      <c r="H12" s="72" t="str">
        <f>IF(E9=O55,O69,IF(E9=O56,O70,IF(E9=O57,O71,IF(E9=O58,O72,IF(E9=O59,O73,O74)))))</f>
        <v>Вертикальный профиль C</v>
      </c>
      <c r="I12" s="32" t="str">
        <f>IF(E9=O55,P69,IF(E9=O56,P70,IF(E9=O57,P71,IF(E9=O58,P72,IF(E9=O59,P73,P74)))))</f>
        <v>AS0010.BP540</v>
      </c>
      <c r="J12" s="4">
        <f>$K$6</f>
        <v>2555</v>
      </c>
      <c r="K12" s="5">
        <f>IF(J12&gt;0,$E$10*2,0)</f>
        <v>4</v>
      </c>
      <c r="L12" s="19">
        <v>0.51200000000000001</v>
      </c>
      <c r="M12" s="77">
        <f>IF(H12=O69,L12*J12*K12/1000,0)</f>
        <v>5.23264</v>
      </c>
      <c r="O12" s="13" t="s">
        <v>34</v>
      </c>
    </row>
    <row r="13" spans="2:17" s="20" customFormat="1" ht="20.100000000000001" customHeight="1" x14ac:dyDescent="0.35">
      <c r="B13" s="124" t="s">
        <v>16</v>
      </c>
      <c r="C13" s="125"/>
      <c r="D13" s="125"/>
      <c r="E13" s="106">
        <v>0</v>
      </c>
      <c r="F13" s="107"/>
      <c r="H13" s="72" t="s">
        <v>82</v>
      </c>
      <c r="I13" s="32" t="s">
        <v>117</v>
      </c>
      <c r="J13" s="4">
        <f>IF(OR(E9=O55,E9=O58,E9=O59,E9=O60),K7-51,IF(E9=O56,K7-68,K7-76))</f>
        <v>657</v>
      </c>
      <c r="K13" s="5">
        <f>E10</f>
        <v>2</v>
      </c>
      <c r="L13" s="19">
        <v>0.495</v>
      </c>
      <c r="M13" s="77">
        <f>IF(H12=O70,L13*J12*K12/1000,0)</f>
        <v>0</v>
      </c>
      <c r="O13" s="13" t="s">
        <v>35</v>
      </c>
    </row>
    <row r="14" spans="2:17" s="20" customFormat="1" ht="20.100000000000001" customHeight="1" x14ac:dyDescent="0.35">
      <c r="B14" s="132" t="s">
        <v>15</v>
      </c>
      <c r="C14" s="133"/>
      <c r="D14" s="133"/>
      <c r="E14" s="106">
        <v>0</v>
      </c>
      <c r="F14" s="107"/>
      <c r="H14" s="72" t="s">
        <v>83</v>
      </c>
      <c r="I14" s="32" t="s">
        <v>118</v>
      </c>
      <c r="J14" s="4">
        <f>J13</f>
        <v>657</v>
      </c>
      <c r="K14" s="5">
        <f>E10</f>
        <v>2</v>
      </c>
      <c r="L14" s="19">
        <v>0.69</v>
      </c>
      <c r="M14" s="77">
        <f>IF(H12=O71,L14*J12*K12/1000,0)</f>
        <v>0</v>
      </c>
    </row>
    <row r="15" spans="2:17" s="20" customFormat="1" ht="20.100000000000001" customHeight="1" x14ac:dyDescent="0.35">
      <c r="B15" s="134" t="s">
        <v>105</v>
      </c>
      <c r="C15" s="135"/>
      <c r="D15" s="135"/>
      <c r="E15" s="128" t="s">
        <v>45</v>
      </c>
      <c r="F15" s="129"/>
      <c r="H15" s="72" t="s">
        <v>84</v>
      </c>
      <c r="I15" s="32" t="s">
        <v>119</v>
      </c>
      <c r="J15" s="4">
        <f>J13</f>
        <v>657</v>
      </c>
      <c r="K15" s="5">
        <f>IF(E12=O63,E10*E14,0)</f>
        <v>0</v>
      </c>
      <c r="L15" s="19">
        <v>0.53400000000000003</v>
      </c>
      <c r="M15" s="77">
        <f>IF(H12=O72,L15*J12*K12/1000,0)</f>
        <v>0</v>
      </c>
    </row>
    <row r="16" spans="2:17" s="20" customFormat="1" ht="20.100000000000001" customHeight="1" x14ac:dyDescent="0.3">
      <c r="B16" s="130" t="s">
        <v>9</v>
      </c>
      <c r="C16" s="131"/>
      <c r="D16" s="131"/>
      <c r="E16" s="128" t="s">
        <v>45</v>
      </c>
      <c r="F16" s="129"/>
      <c r="H16" s="72" t="s">
        <v>85</v>
      </c>
      <c r="I16" s="32" t="s">
        <v>120</v>
      </c>
      <c r="J16" s="4">
        <f>J13</f>
        <v>657</v>
      </c>
      <c r="K16" s="5">
        <f>IF(E12=O64,E10*E14,0)</f>
        <v>0</v>
      </c>
      <c r="L16" s="20">
        <v>0.36299999999999999</v>
      </c>
      <c r="M16" s="77">
        <f>IF(H12=O73,L16*J12*K12/1000,0)</f>
        <v>0</v>
      </c>
    </row>
    <row r="17" spans="2:15" s="20" customFormat="1" ht="20.100000000000001" customHeight="1" thickBot="1" x14ac:dyDescent="0.35">
      <c r="B17" s="130" t="s">
        <v>60</v>
      </c>
      <c r="C17" s="131"/>
      <c r="D17" s="131"/>
      <c r="E17" s="128" t="s">
        <v>45</v>
      </c>
      <c r="F17" s="129"/>
      <c r="H17" s="33" t="s">
        <v>87</v>
      </c>
      <c r="I17" s="71" t="s">
        <v>121</v>
      </c>
      <c r="J17" s="6">
        <f>J13-2</f>
        <v>655</v>
      </c>
      <c r="K17" s="7">
        <f>IF(E13&gt;0,E10,0)</f>
        <v>0</v>
      </c>
      <c r="L17" s="20">
        <v>0.36199999999999999</v>
      </c>
      <c r="M17" s="77">
        <f>IF(H12=O74,L17*J12*K12/1000,0)</f>
        <v>0</v>
      </c>
      <c r="O17" s="20" t="s">
        <v>39</v>
      </c>
    </row>
    <row r="18" spans="2:15" s="20" customFormat="1" ht="20.100000000000001" customHeight="1" thickBot="1" x14ac:dyDescent="0.35">
      <c r="B18" s="138" t="s">
        <v>48</v>
      </c>
      <c r="C18" s="139"/>
      <c r="D18" s="139"/>
      <c r="E18" s="136" t="s">
        <v>50</v>
      </c>
      <c r="F18" s="137"/>
      <c r="L18" s="20">
        <v>0.24099999999999999</v>
      </c>
      <c r="M18" s="20">
        <f>L18*J13*K13/1000</f>
        <v>0.31667399999999996</v>
      </c>
      <c r="O18" s="20" t="s">
        <v>40</v>
      </c>
    </row>
    <row r="19" spans="2:15" s="20" customFormat="1" ht="20.100000000000001" customHeight="1" x14ac:dyDescent="0.3">
      <c r="B19" s="130" t="s">
        <v>86</v>
      </c>
      <c r="C19" s="131"/>
      <c r="D19" s="131"/>
      <c r="E19" s="128" t="s">
        <v>45</v>
      </c>
      <c r="F19" s="129"/>
      <c r="H19" s="36" t="s">
        <v>8</v>
      </c>
      <c r="I19" s="61" t="s">
        <v>22</v>
      </c>
      <c r="J19" s="110" t="s">
        <v>4</v>
      </c>
      <c r="K19" s="111"/>
      <c r="L19" s="20">
        <v>0.49300000000000005</v>
      </c>
      <c r="M19" s="20">
        <f>L19*J14*K14/1000</f>
        <v>0.64780199999999999</v>
      </c>
    </row>
    <row r="20" spans="2:15" s="20" customFormat="1" ht="20.100000000000001" customHeight="1" x14ac:dyDescent="0.3">
      <c r="B20" s="130" t="s">
        <v>90</v>
      </c>
      <c r="C20" s="131"/>
      <c r="D20" s="131"/>
      <c r="E20" s="128" t="s">
        <v>45</v>
      </c>
      <c r="F20" s="129"/>
      <c r="H20" s="81" t="s">
        <v>38</v>
      </c>
      <c r="I20" s="37" t="s">
        <v>122</v>
      </c>
      <c r="J20" s="112">
        <f>IF(OR(E9=O55,E9=O58,E9=O59,E9=O60,E9=O55),E10,0)</f>
        <v>2</v>
      </c>
      <c r="K20" s="113"/>
      <c r="L20" s="20">
        <v>0.33600000000000002</v>
      </c>
      <c r="M20" s="20">
        <f>L20*J15*K15/1000</f>
        <v>0</v>
      </c>
    </row>
    <row r="21" spans="2:15" s="20" customFormat="1" ht="20.100000000000001" customHeight="1" x14ac:dyDescent="0.35">
      <c r="B21" s="130" t="s">
        <v>75</v>
      </c>
      <c r="C21" s="131"/>
      <c r="D21" s="131"/>
      <c r="E21" s="128" t="s">
        <v>45</v>
      </c>
      <c r="F21" s="129"/>
      <c r="H21" s="81" t="s">
        <v>38</v>
      </c>
      <c r="I21" s="37" t="s">
        <v>123</v>
      </c>
      <c r="J21" s="112">
        <f>IF(OR(E9=O56,E9=O57),E10,0)</f>
        <v>0</v>
      </c>
      <c r="K21" s="113"/>
      <c r="L21" s="20">
        <v>0.17199999999999999</v>
      </c>
      <c r="M21" s="20">
        <f>L21*J16*K16/1000</f>
        <v>0</v>
      </c>
      <c r="O21" s="19" t="s">
        <v>41</v>
      </c>
    </row>
    <row r="22" spans="2:15" s="20" customFormat="1" ht="20.100000000000001" customHeight="1" thickBot="1" x14ac:dyDescent="0.4">
      <c r="B22" s="98" t="s">
        <v>52</v>
      </c>
      <c r="C22" s="99"/>
      <c r="D22" s="99"/>
      <c r="E22" s="96" t="s">
        <v>45</v>
      </c>
      <c r="F22" s="97"/>
      <c r="H22" s="81" t="s">
        <v>42</v>
      </c>
      <c r="I22" s="17" t="s">
        <v>138</v>
      </c>
      <c r="J22" s="114">
        <f>ROUNDUP((IF(C32=O12,(D32+E32)*2*F32,0)
+IF(C33=O12,(D33+E33)*2*F33,0)
+IF(C34=O12,(D34+E34)*2*F34,0)
+IF(C35=O12,(D35+E35)*2*F35,0)
+IF(C36=O12,(D36+E36)*2*F36,0))/1000,0)</f>
        <v>0</v>
      </c>
      <c r="K22" s="115"/>
      <c r="L22" s="20">
        <v>0.11199999999999999</v>
      </c>
      <c r="M22" s="20">
        <f>L22*J17*K17/1000</f>
        <v>0</v>
      </c>
      <c r="O22" s="19" t="s">
        <v>13</v>
      </c>
    </row>
    <row r="23" spans="2:15" s="20" customFormat="1" ht="20.100000000000001" customHeight="1" thickBot="1" x14ac:dyDescent="0.35">
      <c r="H23" s="81" t="s">
        <v>43</v>
      </c>
      <c r="I23" s="17" t="s">
        <v>139</v>
      </c>
      <c r="J23" s="114">
        <f>ROUNDUP((IF(C32=O13,(D32+E32)*2*F32,0)
+IF(C33=O13,(D33+E33)*2*F33,0)
+IF(C34=O13,(D34+E34)*2*F34,0)
+IF(C35=O13,(D35+E35)*2*F35,0)
+IF(C36=O13,(D36+E36)*2*F36,0))/1000,0)</f>
        <v>13</v>
      </c>
      <c r="K23" s="115"/>
      <c r="M23" s="35">
        <f>SUM(M12:M22)/E10</f>
        <v>3.0985579999999997</v>
      </c>
    </row>
    <row r="24" spans="2:15" s="20" customFormat="1" ht="20.100000000000001" customHeight="1" x14ac:dyDescent="0.3">
      <c r="B24" s="20" t="s">
        <v>74</v>
      </c>
      <c r="H24" s="81" t="s">
        <v>57</v>
      </c>
      <c r="I24" s="37" t="s">
        <v>125</v>
      </c>
      <c r="J24" s="112">
        <f>IF(M38&lt;30,ROUNDUP(E13/2,0),0)</f>
        <v>0</v>
      </c>
      <c r="K24" s="113"/>
    </row>
    <row r="25" spans="2:15" s="20" customFormat="1" ht="20.100000000000001" customHeight="1" x14ac:dyDescent="0.3">
      <c r="H25" s="81" t="s">
        <v>57</v>
      </c>
      <c r="I25" s="37" t="s">
        <v>126</v>
      </c>
      <c r="J25" s="112">
        <f>IF(AND(M38&gt;=30,M38&lt;50),ROUNDUP(E13/2,0),0)</f>
        <v>0</v>
      </c>
      <c r="K25" s="113"/>
      <c r="O25" s="14">
        <v>0</v>
      </c>
    </row>
    <row r="26" spans="2:15" s="20" customFormat="1" ht="20.100000000000001" customHeight="1" x14ac:dyDescent="0.3">
      <c r="B26" s="20" t="s">
        <v>12</v>
      </c>
      <c r="H26" s="81" t="s">
        <v>57</v>
      </c>
      <c r="I26" s="37" t="s">
        <v>127</v>
      </c>
      <c r="J26" s="112">
        <f>IF(AND(M38&gt;=50,M38&lt;70),ROUNDUP(E13/2,0),0)</f>
        <v>0</v>
      </c>
      <c r="K26" s="113"/>
      <c r="O26" s="14">
        <v>1</v>
      </c>
    </row>
    <row r="27" spans="2:15" s="20" customFormat="1" ht="20.100000000000001" customHeight="1" thickBot="1" x14ac:dyDescent="0.35">
      <c r="H27" s="81" t="s">
        <v>61</v>
      </c>
      <c r="I27" s="37" t="s">
        <v>133</v>
      </c>
      <c r="J27" s="87">
        <f>IF(E17=O42,E10*2-E13,0)</f>
        <v>0</v>
      </c>
      <c r="K27" s="116"/>
      <c r="O27" s="14">
        <v>2</v>
      </c>
    </row>
    <row r="28" spans="2:15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81" t="s">
        <v>62</v>
      </c>
      <c r="I28" s="37" t="s">
        <v>134</v>
      </c>
      <c r="J28" s="87">
        <f>IF(E17=O43,E10*2-E13,0)</f>
        <v>0</v>
      </c>
      <c r="K28" s="116"/>
      <c r="M28" s="63"/>
      <c r="O28" s="14">
        <v>3</v>
      </c>
    </row>
    <row r="29" spans="2:15" s="20" customFormat="1" ht="20.100000000000001" customHeight="1" x14ac:dyDescent="0.35">
      <c r="H29" s="81" t="s">
        <v>49</v>
      </c>
      <c r="I29" s="17" t="s">
        <v>135</v>
      </c>
      <c r="J29" s="117">
        <f>IF(E18=O46,K13*2+K14*2+K15*2+K16*2,0)</f>
        <v>0</v>
      </c>
      <c r="K29" s="118"/>
      <c r="L29" s="64"/>
      <c r="O29" s="14">
        <v>4</v>
      </c>
    </row>
    <row r="30" spans="2:15" ht="20.100000000000001" customHeight="1" thickBot="1" x14ac:dyDescent="0.4">
      <c r="B30" s="20"/>
      <c r="C30" s="20"/>
      <c r="D30" s="20"/>
      <c r="E30" s="20"/>
      <c r="F30" s="20"/>
      <c r="G30" s="20"/>
      <c r="H30" s="54" t="s">
        <v>50</v>
      </c>
      <c r="I30" s="17" t="s">
        <v>129</v>
      </c>
      <c r="J30" s="89">
        <f>IF(E18=O47,ROUNDUP(K12*K6/1000,0),0)</f>
        <v>11</v>
      </c>
      <c r="K30" s="119"/>
      <c r="L30" s="65"/>
    </row>
    <row r="31" spans="2:15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81" t="s">
        <v>51</v>
      </c>
      <c r="I31" s="83" t="s">
        <v>136</v>
      </c>
      <c r="J31" s="87">
        <f>IF(J30&gt;0,K12*2,0)</f>
        <v>8</v>
      </c>
      <c r="K31" s="116"/>
      <c r="M31" s="20">
        <f>IF(C32=$O$11,((D32*E32*F32/$E$10)/1000000)*8,IF(C32=$O$12,((D32*E32*F32/$E$10)/1000000)*6.5,((D32*E32*F32/$E$10)/1000000)*11))</f>
        <v>18.360704999999999</v>
      </c>
    </row>
    <row r="32" spans="2:15" ht="21" customHeight="1" x14ac:dyDescent="0.35">
      <c r="B32" s="72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IF(C32=O12,2,IF(C32=O13,3,0))-E14*IF(E12=O63,9,1.4),0)</f>
        <v>2495</v>
      </c>
      <c r="E32" s="47">
        <f>IF(AND(C32=O11,OR(E9=O55,E9=O58,E9=O59,E9=O60)),K7-36,IF(AND(C32=O11,E9=O56),K7-54,IF(AND(C32=O11,E9=O57),K7-60,
IF(AND(C32=O12,OR(E9=O55,E9=O58,E9=O59,E9=O60)),K7-36-2,IF(AND(C32=O12,E9=O56),K7-54-2,IF(AND(C32=O12,E9=O57),K7-60-2,
IF(AND(C32=O13,OR(E9=O55,E9=O58,E9=O59,E9=O60)),K7-36-3,IF(AND(C32=O13,E9=O56),K7-54-3,IF(AND(C32=O13,E9=O57),K7-60-3,0)))))))))</f>
        <v>669</v>
      </c>
      <c r="F32" s="48">
        <f>$E$10</f>
        <v>2</v>
      </c>
      <c r="G32" s="49">
        <f>IF(D33&lt;&gt;0,1,0)</f>
        <v>0</v>
      </c>
      <c r="H32" s="81" t="s">
        <v>64</v>
      </c>
      <c r="I32" s="17" t="s">
        <v>137</v>
      </c>
      <c r="J32" s="120">
        <f>IF(E18=O48,ROUNDUP(K12*K6/1000,0),0)</f>
        <v>0</v>
      </c>
      <c r="K32" s="121"/>
      <c r="M32" s="20">
        <f>IF(C33=$O$11,((D33*E33*F33/$E$10)/1000000)*8,IF(C33=$O$12,((D33*E33*F33/$E$10)/1000000)*6.5,((D33*E33*F33/$E$10)/1000000)*11))</f>
        <v>0</v>
      </c>
    </row>
    <row r="33" spans="2:15" ht="20.100000000000001" customHeight="1" x14ac:dyDescent="0.35">
      <c r="B33" s="72" t="s">
        <v>29</v>
      </c>
      <c r="C33" s="8" t="s">
        <v>35</v>
      </c>
      <c r="D33" s="10">
        <v>0</v>
      </c>
      <c r="E33" s="47">
        <f>IF(AND(C33=O11,OR(E9=O55,E9=O58,E9=O59,E9=O60)),K7-36,IF(AND(C33=O11,E9=O56),K7-54,IF(AND(C33=O11,E9=O57),K7-60,
IF(AND(C33=O12,OR(E9=O55,E9=O58,E9=O59,E9=O60)),K7-36-2,IF(AND(C33=O12,E9=O56),K7-54-2,IF(AND(C33=O12,E9=O57),K7-60-2,
IF(AND(C33=O13,OR(E9=O55,E9=O58,E9=O59,E9=O60)),K7-36-3,IF(AND(C33=O13,E9=O56),K7-54-3,IF(AND(C33=O13,E9=O57),K7-60-3,0)))))))))</f>
        <v>669</v>
      </c>
      <c r="F33" s="48">
        <f>IF(D33&lt;&gt;0,$E$10,0)</f>
        <v>0</v>
      </c>
      <c r="G33" s="49">
        <f>IF(D34&lt;&gt;0,1,0)</f>
        <v>0</v>
      </c>
      <c r="H33" s="81" t="s">
        <v>9</v>
      </c>
      <c r="I33" s="37" t="s">
        <v>124</v>
      </c>
      <c r="J33" s="89">
        <f>IF(E16=O36,ROUNDUP((J11+40)*2/1000,0),0)</f>
        <v>0</v>
      </c>
      <c r="K33" s="90"/>
      <c r="M33" s="20">
        <f>IF(C34=$O$11,((D34*E34*F34/$E$10)/1000000)*8,IF(C34=$O$12,((D34*E34*F34/$E$10)/1000000)*6.5,((D34*E34*F34/$E$10)/1000000)*11))</f>
        <v>0</v>
      </c>
      <c r="O33" s="13" t="s">
        <v>33</v>
      </c>
    </row>
    <row r="34" spans="2:15" ht="20.100000000000001" customHeight="1" x14ac:dyDescent="0.35">
      <c r="B34" s="72" t="s">
        <v>30</v>
      </c>
      <c r="C34" s="8" t="s">
        <v>35</v>
      </c>
      <c r="D34" s="10">
        <v>0</v>
      </c>
      <c r="E34" s="47">
        <f>IF(AND(C34=O11,OR(E9=O55,E9=O58,E9=O59,E9=O60)),K7-36,IF(AND(C34=O11,E9=O56),K7-54,IF(AND(C34=O11,E9=O57),K7-60,
IF(AND(C34=O12,OR(E9=O55,E9=O58,E9=O59,E9=O60)),K7-36-2,IF(AND(C34=O12,E9=O56),K7-54-2,IF(AND(C34=O12,E9=O57),K7-60-2,
IF(AND(C34=O13,OR(E9=O55,E9=O58,E9=O59,E9=O60)),K7-36-3,IF(AND(C34=O13,E9=O56),K7-54-3,IF(AND(C34=O13,E9=O57),K7-60-3,0)))))))))</f>
        <v>669</v>
      </c>
      <c r="F34" s="48">
        <f>IF(D34&lt;&gt;0,$E$10,0)</f>
        <v>0</v>
      </c>
      <c r="G34" s="49">
        <f>IF(D35&lt;&gt;0,1,0)</f>
        <v>0</v>
      </c>
      <c r="H34" s="81" t="s">
        <v>88</v>
      </c>
      <c r="I34" s="37" t="s">
        <v>128</v>
      </c>
      <c r="J34" s="87">
        <f>K15*2</f>
        <v>0</v>
      </c>
      <c r="K34" s="88"/>
      <c r="M34" s="20">
        <f>IF(C35=$O$11,((D35*E35*F35/$E$10)/1000000)*8,IF(C35=$O$12,((D35*E35*F35/$E$10)/1000000)*6.5,((D35*E35*F35/$E$10)/1000000)*11))</f>
        <v>0</v>
      </c>
      <c r="O34" s="13" t="s">
        <v>35</v>
      </c>
    </row>
    <row r="35" spans="2:15" ht="20.100000000000001" customHeight="1" thickBot="1" x14ac:dyDescent="0.4">
      <c r="B35" s="72" t="s">
        <v>31</v>
      </c>
      <c r="C35" s="8" t="s">
        <v>35</v>
      </c>
      <c r="D35" s="10">
        <v>0</v>
      </c>
      <c r="E35" s="47">
        <f>IF(AND(C35=O11,OR(E9=O55,E9=O58,E9=O59,E9=O60)),K7-36,IF(AND(C35=O11,E9=O56),K7-54,IF(AND(C35=O11,E9=O57),K7-60,
IF(AND(C35=O12,OR(E9=O55,E9=O58,E9=O59,E9=O60)),K7-36-2,IF(AND(C35=O12,E9=O56),K7-54-2,IF(AND(C35=O12,E9=O57),K7-60-2,
IF(AND(C35=O13,OR(E9=O55,E9=O58,E9=O59,E9=O60)),K7-36-3,IF(AND(C35=O13,E9=O56),K7-54-3,IF(AND(C35=O13,E9=O57),K7-60-3,0)))))))))</f>
        <v>669</v>
      </c>
      <c r="F35" s="48">
        <f>IF(D35&lt;&gt;0,$E$10,0)</f>
        <v>0</v>
      </c>
      <c r="G35" s="49">
        <f>IF(D36&lt;&gt;0,1,0)</f>
        <v>0</v>
      </c>
      <c r="H35" s="81" t="s">
        <v>90</v>
      </c>
      <c r="I35" s="37" t="s">
        <v>130</v>
      </c>
      <c r="J35" s="87">
        <f>IF(AND(E20=O36,E9=O57),E11,0)</f>
        <v>0</v>
      </c>
      <c r="K35" s="88"/>
      <c r="M35" s="20">
        <f>IF(C36=$O$11,((D36*E36*F36/$E$10)/1000000)*8,IF(C36=$O$12,((D36*E36*F36/$E$10)/1000000)*6.5,((D36*E36*F36/$E$10)/1000000)*11))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>IF(AND(C36=O11,OR(E9=O55,E9=O58,E9=O59,E9=O60)),K7-36,IF(AND(C36=O11,E9=O56),K7-54,IF(AND(C36=O11,E9=O57),K7-60,
IF(AND(C36=O12,OR(E9=O55,E9=O58,E9=O59,E9=O60)),K7-36-2,IF(AND(C36=O12,E9=O56),K7-54-2,IF(AND(C36=O12,E9=O57),K7-60-2,
IF(AND(C36=O13,OR(E9=O55,E9=O58,E9=O59,E9=O60)),K7-36-3,IF(AND(C36=O13,E9=O56),K7-54-3,IF(AND(C36=O13,E9=O57),K7-60-3,0)))))))))</f>
        <v>669</v>
      </c>
      <c r="F36" s="53">
        <f>IF(D36&lt;&gt;0,$E$10,0)</f>
        <v>0</v>
      </c>
      <c r="G36" s="20"/>
      <c r="H36" s="81" t="s">
        <v>89</v>
      </c>
      <c r="I36" s="37" t="s">
        <v>131</v>
      </c>
      <c r="J36" s="87">
        <f>IF(AND(E21=O36,OR(E9=O55,E9=O58,E9=O59,E9=O60)),E11,0)</f>
        <v>0</v>
      </c>
      <c r="K36" s="88"/>
      <c r="M36" s="35">
        <f>SUM(M31:M35)</f>
        <v>18.360704999999999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33" t="s">
        <v>52</v>
      </c>
      <c r="I37" s="56" t="s">
        <v>132</v>
      </c>
      <c r="J37" s="108">
        <f>IF(E22=O36,E11,0)</f>
        <v>0</v>
      </c>
      <c r="K37" s="109"/>
      <c r="M37" s="20"/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66"/>
      <c r="L38" s="45" t="s">
        <v>56</v>
      </c>
      <c r="M38" s="46">
        <f>(M36+M23)*1.05</f>
        <v>22.53222615</v>
      </c>
    </row>
    <row r="39" spans="2:15" x14ac:dyDescent="0.35">
      <c r="B39" s="20"/>
      <c r="C39" s="20"/>
      <c r="D39" s="20"/>
      <c r="E39" s="20"/>
      <c r="F39" s="20"/>
      <c r="G39" s="20"/>
      <c r="H39" s="19" t="s">
        <v>59</v>
      </c>
      <c r="K39" s="82"/>
    </row>
    <row r="40" spans="2:15" x14ac:dyDescent="0.35">
      <c r="B40" s="20"/>
      <c r="C40" s="85" t="str">
        <f>IF(AND(SUM(G31:G35)/C28=1,D36=0,C28&lt;&gt;1),O21,O22)</f>
        <v xml:space="preserve"> </v>
      </c>
      <c r="D40" s="85"/>
      <c r="E40" s="20"/>
      <c r="F40" s="20"/>
      <c r="G40" s="20"/>
    </row>
    <row r="41" spans="2:15" ht="18.600000000000001" thickBot="1" x14ac:dyDescent="0.4">
      <c r="B41" s="20"/>
      <c r="C41" s="20"/>
      <c r="D41" s="20"/>
      <c r="E41" s="20"/>
      <c r="F41" s="20"/>
      <c r="G41" s="20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ROUNDUP(M38,0)</f>
        <v>23</v>
      </c>
      <c r="G42" s="20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O43" s="19" t="s">
        <v>47</v>
      </c>
    </row>
    <row r="44" spans="2:15" x14ac:dyDescent="0.35">
      <c r="B44" s="20"/>
      <c r="E44" s="20"/>
      <c r="F44" s="20"/>
      <c r="G44" s="20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O48" s="15" t="s">
        <v>64</v>
      </c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ROUNDUP(IF(AND(OR(E18=O48,E18=O47),E8=O6),(E7-20+E11*25)/E10,
IF(AND(OR(E18=O48,E18=O47),E8&lt;&gt;O6),(E7-10+E11*25)/E10,(E7+E11*25)/E10)),0)</f>
        <v>708</v>
      </c>
    </row>
    <row r="56" spans="15:16" x14ac:dyDescent="0.35">
      <c r="O56" s="19" t="s">
        <v>66</v>
      </c>
      <c r="P56" s="19">
        <f>ROUNDUP(IF(AND(OR(E18=O48,E18=O47),E8=O6),(E7-20+E11*35)/E10,
IF(AND(OR(E18=O48,E18=O47),E8&lt;&gt;O6),(E7-10+E11*35)/E10,(E7+E11*35)/E10)),0)</f>
        <v>713</v>
      </c>
    </row>
    <row r="57" spans="15:16" x14ac:dyDescent="0.35">
      <c r="O57" s="19" t="s">
        <v>67</v>
      </c>
      <c r="P57" s="19">
        <f>ROUNDUP(IF(AND(OR(E18=O48,E18=O47),E8=O6),(E7-20+E11*39)/E10,
IF(AND(OR(E18=O48,E18=O47),E8&lt;&gt;O6),(E7-10+E11*39)/E10,(E7+E11*39)/E10)),0)</f>
        <v>715</v>
      </c>
    </row>
    <row r="58" spans="15:16" x14ac:dyDescent="0.35">
      <c r="O58" s="19" t="s">
        <v>68</v>
      </c>
      <c r="P58" s="19">
        <f>ROUNDUP(IF(AND(OR(E18=O48,E18=O47),E8=O6),(E7-20+E11*45)/E10,
IF(AND(OR(E18=O48,E18=O47),E8&lt;&gt;O6),(E7-10+E11*45)/E10,(E7+E11*45)/E10)),0)</f>
        <v>718</v>
      </c>
    </row>
    <row r="59" spans="15:16" x14ac:dyDescent="0.35">
      <c r="O59" s="19" t="s">
        <v>69</v>
      </c>
      <c r="P59" s="19">
        <f>ROUNDUP(IF(AND(OR(E18=O48,E18=O47),E8=O6),(E7-20+E11*25)/E10,
IF(AND(OR(E18=O48,E18=O47),E8&lt;&gt;O6),(E7-10+E11*25)/E10,(E7+E11*25)/E10)),0)</f>
        <v>708</v>
      </c>
    </row>
    <row r="60" spans="15:16" x14ac:dyDescent="0.35">
      <c r="O60" s="19" t="s">
        <v>70</v>
      </c>
      <c r="P60" s="19">
        <f>ROUNDUP(IF(AND(OR(E18=O48,E18=O47),E8=O6),(E7-20+E11*25)/E10,
IF(AND(OR(E18=O48,E18=O47),E8&lt;&gt;O6),(E7-10+E11*25)/E10,(E7+E11*25)/E10)),0)</f>
        <v>708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</sheetData>
  <sheetProtection algorithmName="SHA-512" hashValue="DLyDTHo4zONp2KT7miKkghFyL/iceZi4VLN88AQCaz9LEXTycziXJwiRJPM0FKdev2lSW8Ze/R1nvl7PXUq3bw==" saltValue="lOpHDCZuFkA65nQI4wXC0w==" spinCount="100000" sheet="1" selectLockedCells="1"/>
  <mergeCells count="58"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  <mergeCell ref="J21:K21"/>
    <mergeCell ref="B6:D6"/>
    <mergeCell ref="B7:D7"/>
    <mergeCell ref="B8:D8"/>
    <mergeCell ref="B10:D10"/>
    <mergeCell ref="B11:D11"/>
    <mergeCell ref="E9:F9"/>
    <mergeCell ref="B9:D9"/>
    <mergeCell ref="B12:D12"/>
    <mergeCell ref="B20:D20"/>
    <mergeCell ref="E20:F20"/>
    <mergeCell ref="E12:F12"/>
    <mergeCell ref="B21:D21"/>
    <mergeCell ref="E21:F21"/>
    <mergeCell ref="B13:D13"/>
    <mergeCell ref="B14:D14"/>
    <mergeCell ref="J37:K37"/>
    <mergeCell ref="J19:K19"/>
    <mergeCell ref="J20:K20"/>
    <mergeCell ref="J22:K22"/>
    <mergeCell ref="J23:K23"/>
    <mergeCell ref="J24:K24"/>
    <mergeCell ref="J25:K25"/>
    <mergeCell ref="J26:K26"/>
    <mergeCell ref="J27:K27"/>
    <mergeCell ref="J29:K29"/>
    <mergeCell ref="J34:K34"/>
    <mergeCell ref="J28:K28"/>
    <mergeCell ref="J30:K30"/>
    <mergeCell ref="J35:K35"/>
    <mergeCell ref="J32:K32"/>
    <mergeCell ref="J31:K31"/>
    <mergeCell ref="C40:D40"/>
    <mergeCell ref="B2:K2"/>
    <mergeCell ref="J36:K36"/>
    <mergeCell ref="J33:K33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</mergeCells>
  <conditionalFormatting sqref="C38">
    <cfRule type="expression" dxfId="11" priority="28">
      <formula>$C$38=$O$17</formula>
    </cfRule>
    <cfRule type="expression" dxfId="10" priority="29">
      <formula>$C$38=$O$18</formula>
    </cfRule>
  </conditionalFormatting>
  <conditionalFormatting sqref="C40">
    <cfRule type="expression" dxfId="9" priority="30">
      <formula>$C$40=$O$21</formula>
    </cfRule>
  </conditionalFormatting>
  <conditionalFormatting sqref="E20:F20">
    <cfRule type="expression" dxfId="8" priority="9">
      <formula>AND($E$9&lt;&gt;$O$57,$E$20=$O$36)</formula>
    </cfRule>
  </conditionalFormatting>
  <conditionalFormatting sqref="E21:F21">
    <cfRule type="expression" dxfId="7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E8">
      <formula1>$O$3:$O$7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$O$55:$O$60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$O$63:$O$64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Q81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7" width="0" style="19" hidden="1" customWidth="1"/>
    <col min="18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86" t="s">
        <v>93</v>
      </c>
      <c r="C2" s="86"/>
      <c r="D2" s="86"/>
      <c r="E2" s="86"/>
      <c r="F2" s="86"/>
      <c r="G2" s="86"/>
      <c r="H2" s="86"/>
      <c r="I2" s="86"/>
      <c r="J2" s="86"/>
      <c r="K2" s="86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91" t="s">
        <v>11</v>
      </c>
      <c r="C4" s="91"/>
      <c r="D4" s="91"/>
      <c r="E4" s="91"/>
      <c r="F4" s="91"/>
      <c r="H4" s="91" t="s">
        <v>10</v>
      </c>
      <c r="I4" s="91"/>
      <c r="J4" s="91"/>
      <c r="K4" s="91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122" t="s">
        <v>0</v>
      </c>
      <c r="C6" s="123"/>
      <c r="D6" s="123"/>
      <c r="E6" s="100">
        <v>2600</v>
      </c>
      <c r="F6" s="101"/>
      <c r="H6" s="92" t="s">
        <v>7</v>
      </c>
      <c r="I6" s="93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124" t="s">
        <v>14</v>
      </c>
      <c r="C7" s="125"/>
      <c r="D7" s="125"/>
      <c r="E7" s="102">
        <v>500</v>
      </c>
      <c r="F7" s="103"/>
      <c r="H7" s="94"/>
      <c r="I7" s="95"/>
      <c r="J7" s="27" t="s">
        <v>6</v>
      </c>
      <c r="K7" s="2">
        <f>IF(E11=O81,Q55,IF(E9=O55,P55,IF(E9=O56,P56,IF(E9=O57,P57,IF(E9=O58,P58,IF(E9=O59,P59,IF(E9=O60,P60,0)))))))</f>
        <v>490</v>
      </c>
      <c r="O7" s="24"/>
    </row>
    <row r="8" spans="2:15" s="20" customFormat="1" ht="20.100000000000001" customHeight="1" thickBot="1" x14ac:dyDescent="0.35">
      <c r="B8" s="126" t="s">
        <v>23</v>
      </c>
      <c r="C8" s="127"/>
      <c r="D8" s="127"/>
      <c r="E8" s="102" t="s">
        <v>95</v>
      </c>
      <c r="F8" s="103"/>
      <c r="H8" s="28"/>
      <c r="I8" s="28"/>
      <c r="J8" s="29"/>
      <c r="K8" s="3"/>
    </row>
    <row r="9" spans="2:15" s="20" customFormat="1" ht="20.100000000000001" customHeight="1" x14ac:dyDescent="0.3">
      <c r="B9" s="130" t="s">
        <v>63</v>
      </c>
      <c r="C9" s="131"/>
      <c r="D9" s="131"/>
      <c r="E9" s="128" t="s">
        <v>65</v>
      </c>
      <c r="F9" s="129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26" t="s">
        <v>1</v>
      </c>
      <c r="C10" s="127"/>
      <c r="D10" s="127"/>
      <c r="E10" s="104">
        <f>IF(E8=O3,1,2)</f>
        <v>1</v>
      </c>
      <c r="F10" s="105"/>
      <c r="H10" s="69" t="s">
        <v>97</v>
      </c>
      <c r="I10" s="67" t="s">
        <v>149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40" t="s">
        <v>155</v>
      </c>
      <c r="C11" s="141"/>
      <c r="D11" s="141"/>
      <c r="E11" s="142" t="s">
        <v>156</v>
      </c>
      <c r="F11" s="143"/>
      <c r="H11" s="81" t="str">
        <f>IF(E9=O55,O69,IF(E9=O56,O70,IF(E9=O57,O71,IF(E9=O58,O72,IF(E9=O59,O73,O74)))))</f>
        <v>Вертикальный профиль C</v>
      </c>
      <c r="I11" s="32" t="str">
        <f>IF(E9=O55,P69,IF(E9=O56,P70,IF(E9=O57,P71,IF(E9=O58,P72,IF(E9=O59,P73,P74)))))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IF(H11=O69,J11*K11*L11/1000,0)</f>
        <v>2.6419200000000003</v>
      </c>
      <c r="O11" s="13" t="s">
        <v>33</v>
      </c>
    </row>
    <row r="12" spans="2:15" s="20" customFormat="1" ht="20.100000000000001" customHeight="1" x14ac:dyDescent="0.35">
      <c r="B12" s="130" t="s">
        <v>73</v>
      </c>
      <c r="C12" s="131"/>
      <c r="D12" s="131"/>
      <c r="E12" s="128" t="s">
        <v>71</v>
      </c>
      <c r="F12" s="129"/>
      <c r="H12" s="81" t="s">
        <v>82</v>
      </c>
      <c r="I12" s="32" t="s">
        <v>117</v>
      </c>
      <c r="J12" s="4">
        <f>IF(OR(E9=O55,E9=O58,E9=O59,E9=O60),K7-51,IF(E9=O56,K7-68,K7-76))</f>
        <v>439</v>
      </c>
      <c r="K12" s="5">
        <f>E10</f>
        <v>1</v>
      </c>
      <c r="L12" s="19">
        <v>0.495</v>
      </c>
      <c r="M12" s="77">
        <f>IF(H11=O70,J11*K11*L11/1000,0)</f>
        <v>0</v>
      </c>
      <c r="O12" s="13" t="s">
        <v>34</v>
      </c>
    </row>
    <row r="13" spans="2:15" s="20" customFormat="1" ht="20.100000000000001" customHeight="1" x14ac:dyDescent="0.35">
      <c r="B13" s="132" t="s">
        <v>15</v>
      </c>
      <c r="C13" s="133"/>
      <c r="D13" s="133"/>
      <c r="E13" s="106">
        <v>0</v>
      </c>
      <c r="F13" s="107"/>
      <c r="H13" s="81" t="s">
        <v>83</v>
      </c>
      <c r="I13" s="32" t="s">
        <v>118</v>
      </c>
      <c r="J13" s="4">
        <f>J12</f>
        <v>439</v>
      </c>
      <c r="K13" s="5">
        <f>E10</f>
        <v>1</v>
      </c>
      <c r="L13" s="19">
        <v>0.69</v>
      </c>
      <c r="M13" s="77">
        <f>IF(H11=O71,J11*K11*L11/1000,0)</f>
        <v>0</v>
      </c>
      <c r="O13" s="13" t="s">
        <v>35</v>
      </c>
    </row>
    <row r="14" spans="2:15" s="20" customFormat="1" ht="20.100000000000001" customHeight="1" x14ac:dyDescent="0.35">
      <c r="B14" s="138" t="s">
        <v>101</v>
      </c>
      <c r="C14" s="139"/>
      <c r="D14" s="139"/>
      <c r="E14" s="136" t="s">
        <v>50</v>
      </c>
      <c r="F14" s="137"/>
      <c r="H14" s="81" t="s">
        <v>84</v>
      </c>
      <c r="I14" s="32" t="s">
        <v>119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IF(H11=O72,J11*K11*L11/1000,0)</f>
        <v>0</v>
      </c>
    </row>
    <row r="15" spans="2:15" s="20" customFormat="1" ht="20.100000000000001" customHeight="1" thickBot="1" x14ac:dyDescent="0.35">
      <c r="B15" s="146" t="s">
        <v>98</v>
      </c>
      <c r="C15" s="147"/>
      <c r="D15" s="147"/>
      <c r="E15" s="148" t="s">
        <v>100</v>
      </c>
      <c r="F15" s="149"/>
      <c r="H15" s="33" t="s">
        <v>85</v>
      </c>
      <c r="I15" s="34" t="s">
        <v>120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IF(H11=O73,J11*K11*L11/1000,0)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IF(H11=O74,J11*K11*L11/1000,0)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10" t="s">
        <v>4</v>
      </c>
      <c r="K17" s="111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150</v>
      </c>
      <c r="J18" s="112">
        <f>IF(E11=O80,E10,0)</f>
        <v>0</v>
      </c>
      <c r="K18" s="113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153</v>
      </c>
      <c r="I19" s="37" t="s">
        <v>154</v>
      </c>
      <c r="J19" s="112">
        <f>IF(E11=O81,E10,0)</f>
        <v>1</v>
      </c>
      <c r="K19" s="113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138</v>
      </c>
      <c r="J20" s="114">
        <f>ROUNDUP((IF(C26=O12,(D26+E26)*2*F26,0)
+IF(C27=O12,(D27+E27)*2*F27,0)
+IF(C28=O12,(D28+E28)*2*F28,0)
+IF(C29=O12,(D29+E29)*2*F29,0)
+IF(C30=O12,(D30+E30)*2*F30,0))/1000,0)</f>
        <v>0</v>
      </c>
      <c r="K20" s="115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139</v>
      </c>
      <c r="J21" s="114">
        <f>ROUNDUP((IF(C26=O13,(D26+E26)*2*F26,0)
+IF(C27=O13,(D27+E27)*2*F27,0)
+IF(C28=O13,(D28+E28)*2*F28,0)
+IF(C29=O13,(D29+E29)*2*F29,0)
+IF(C30=O13,(D30+E30)*2*F30,0))/1000,0)</f>
        <v>6</v>
      </c>
      <c r="K21" s="115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135</v>
      </c>
      <c r="J22" s="144">
        <f>IF(AND(E11=O80,E14=O46),J28,0)</f>
        <v>0</v>
      </c>
      <c r="K22" s="145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129</v>
      </c>
      <c r="J23" s="89">
        <f>IF(E14=O47,ROUNDUP(K11*K6/1000,0),0)</f>
        <v>6</v>
      </c>
      <c r="K23" s="119"/>
    </row>
    <row r="24" spans="2:15" s="20" customFormat="1" ht="20.100000000000001" customHeight="1" thickBot="1" x14ac:dyDescent="0.35">
      <c r="H24" s="81" t="s">
        <v>51</v>
      </c>
      <c r="I24" s="83" t="s">
        <v>136</v>
      </c>
      <c r="J24" s="87">
        <f>IF(J23&gt;0,K11*2,0)</f>
        <v>4</v>
      </c>
      <c r="K24" s="116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137</v>
      </c>
      <c r="J25" s="114">
        <f>IF(E14=O48,ROUNDUP(K11*K6/1000,0),0)</f>
        <v>0</v>
      </c>
      <c r="K25" s="115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IF(C26=O12,2,IF(C26=O13,3,0))-E13*IF(E12=O63,9,1.4),0)</f>
        <v>2520</v>
      </c>
      <c r="E26" s="47">
        <f>IF(AND(C26=O11,OR(E9=O55,E9=O58,E9=O59,E9=O60)),K7-36,IF(AND(C26=O11,E9=O56),K7-54,IF(AND(C26=O11,E9=O57),K7-60,
IF(AND(C26=O12,OR(E9=O55,E9=O58,E9=O59,E9=O60)),K7-36-2,IF(AND(C26=O12,E9=O56),K7-54-2,IF(AND(C26=O12,E9=O57),K7-60-2,
IF(AND(C26=O13,OR(E9=O55,E9=O58,E9=O59,E9=O60)),K7-36-3,IF(AND(C26=O13,E9=O56),K7-54-3,IF(AND(C26=O13,E9=O57),K7-60-3,0)))))))))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103</v>
      </c>
      <c r="I26" s="17" t="s">
        <v>151</v>
      </c>
      <c r="J26" s="144">
        <f>IF(E15=O68,E10,0)</f>
        <v>1</v>
      </c>
      <c r="K26" s="145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IF(AND(C27=O11,OR(E9=O55,E9=O58,E9=O59,E9=O60)),K7-36,IF(AND(C27=O11,E9=O56),K7-54,IF(AND(C27=O11,E9=O57),K7-60,
IF(AND(C27=O12,OR(E9=O55,E9=O58,E9=O59,E9=O60)),K7-36-2,IF(AND(C27=O12,E9=O56),K7-54-2,IF(AND(C27=O12,E9=O57),K7-60-2,
IF(AND(C27=O13,OR(E9=O55,E9=O58,E9=O59,E9=O60)),K7-36-3,IF(AND(C27=O13,E9=O56),K7-54-3,IF(AND(C27=O13,E9=O57),K7-60-3,0)))))))))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104</v>
      </c>
      <c r="I27" s="17" t="s">
        <v>152</v>
      </c>
      <c r="J27" s="144">
        <f>IF(E15=O67,E10,0)</f>
        <v>0</v>
      </c>
      <c r="K27" s="145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IF(AND(C28=O11,OR(E9=O55,E9=O58,E9=O59,E9=O60)),K7-36,IF(AND(C28=O11,E9=O56),K7-54,IF(AND(C28=O11,E9=O57),K7-60,
IF(AND(C28=O12,OR(E9=O55,E9=O58,E9=O59,E9=O60)),K7-36-2,IF(AND(C28=O12,E9=O56),K7-54-2,IF(AND(C28=O12,E9=O57),K7-60-2,
IF(AND(C28=O13,OR(E9=O55,E9=O58,E9=O59,E9=O60)),K7-36-3,IF(AND(C28=O13,E9=O56),K7-54-3,IF(AND(C28=O13,E9=O57),K7-60-3,0)))))))))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128</v>
      </c>
      <c r="J28" s="108">
        <f>K14*2+E10*4</f>
        <v>4</v>
      </c>
      <c r="K28" s="109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IF(AND(C29=O11,OR(E9=O55,E9=O58,E9=O59,E9=O60)),K7-36,IF(AND(C29=O11,E9=O56),K7-54,IF(AND(C29=O11,E9=O57),K7-60,
IF(AND(C29=O12,OR(E9=O55,E9=O58,E9=O59,E9=O60)),K7-36-2,IF(AND(C29=O12,E9=O56),K7-54-2,IF(AND(C29=O12,E9=O57),K7-60-2,
IF(AND(C29=O13,OR(E9=O55,E9=O58,E9=O59,E9=O60)),K7-36-3,IF(AND(C29=O13,E9=O56),K7-54-3,IF(AND(C29=O13,E9=O57),K7-60-3,0)))))))))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82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IF(AND(C30=O11,OR(E9=O55,E9=O58,E9=O59,E9=O60)),K7-36,IF(AND(C30=O11,E9=O56),K7-54,IF(AND(C30=O11,E9=O57),K7-60,
IF(AND(C30=O12,OR(E9=O55,E9=O58,E9=O59,E9=O60)),K7-36-2,IF(AND(C30=O12,E9=O56),K7-54-2,IF(AND(C30=O12,E9=O57),K7-60-2,
IF(AND(C30=O13,OR(E9=O55,E9=O58,E9=O59,E9=O60)),K7-36-3,IF(AND(C30=O13,E9=O56),K7-54-3,IF(AND(C30=O13,E9=O57),K7-60-3,0)))))))))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85" t="str">
        <f>IF(AND(SUM(G26:G30)/C22=1,D30=0,C22&lt;&gt;1),O21,O22)</f>
        <v xml:space="preserve"> </v>
      </c>
      <c r="D34" s="85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17" x14ac:dyDescent="0.35">
      <c r="O50" s="19" t="s">
        <v>53</v>
      </c>
    </row>
    <row r="51" spans="15:17" x14ac:dyDescent="0.35">
      <c r="O51" s="19" t="s">
        <v>13</v>
      </c>
    </row>
    <row r="55" spans="15:17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</row>
    <row r="56" spans="15:17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</row>
    <row r="57" spans="15:17" x14ac:dyDescent="0.35">
      <c r="O57" s="19" t="s">
        <v>67</v>
      </c>
      <c r="P57" s="19">
        <f>ROUNDDOWN(IF(AND(OR(E14=O48,E14=O47),E8=O3),(E7-6-6)/E10,
IF(AND(OR(E14=O48,E14=O47),E8=O4),(E7-6-10-6)/E10,
IF(AND(E14=O46,E8=O3),(E7-6-6)/E10,
IF(AND(E14=O46,E8=O4),(E7-6-4-6)/E10,0)))),0)</f>
        <v>488</v>
      </c>
    </row>
    <row r="58" spans="15:17" x14ac:dyDescent="0.35">
      <c r="O58" s="19" t="s">
        <v>68</v>
      </c>
      <c r="P58" s="19">
        <f>ROUNDDOWN(IF(AND(OR(E14=O48,E14=O47),E8=O3),(E7-6-6)/E10,
IF(AND(OR(E14=O48,E14=O47),E8=O4),(E7-6-10-6)/E10,
IF(AND(E14=O46,E8=O3),(E7-6-6)/E10,
IF(AND(E14=O46,E8=O4),(E7-6-4-6)/E10,0)))),0)</f>
        <v>488</v>
      </c>
    </row>
    <row r="59" spans="15:17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</row>
    <row r="60" spans="15:17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</row>
    <row r="63" spans="15:17" x14ac:dyDescent="0.35">
      <c r="O63" s="19" t="s">
        <v>71</v>
      </c>
    </row>
    <row r="64" spans="15:17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80" spans="15:16" x14ac:dyDescent="0.35">
      <c r="O80" s="84" t="s">
        <v>96</v>
      </c>
    </row>
    <row r="81" spans="15:15" x14ac:dyDescent="0.35">
      <c r="O81" s="84" t="s">
        <v>156</v>
      </c>
    </row>
  </sheetData>
  <sheetProtection algorithmName="SHA-512" hashValue="LQGTvwQP091EohzAbiFO4K1sN/5C8wfUJ+sip9IVgBADkxKJKFsTPKLT2q9NL1L6zaVQ8/APSeNRCcrcdQYXRw==" saltValue="PV93x+UmqKA3R/D3LgpsXA==" spinCount="100000" sheet="1" selectLockedCells="1"/>
  <mergeCells count="37">
    <mergeCell ref="B2:K2"/>
    <mergeCell ref="H4:K4"/>
    <mergeCell ref="B6:D6"/>
    <mergeCell ref="E6:F6"/>
    <mergeCell ref="H6:I7"/>
    <mergeCell ref="B7:D7"/>
    <mergeCell ref="E7:F7"/>
    <mergeCell ref="B4:F4"/>
    <mergeCell ref="B8:D8"/>
    <mergeCell ref="E8:F8"/>
    <mergeCell ref="B9:D9"/>
    <mergeCell ref="E9:F9"/>
    <mergeCell ref="B10:D10"/>
    <mergeCell ref="E10:F10"/>
    <mergeCell ref="J19:K19"/>
    <mergeCell ref="B13:D13"/>
    <mergeCell ref="E13:F13"/>
    <mergeCell ref="B12:D12"/>
    <mergeCell ref="E12:F12"/>
    <mergeCell ref="B15:D15"/>
    <mergeCell ref="E15:F15"/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</mergeCells>
  <conditionalFormatting sqref="C32">
    <cfRule type="expression" dxfId="6" priority="5">
      <formula>$C$32=$O$17</formula>
    </cfRule>
    <cfRule type="expression" dxfId="5" priority="6">
      <formula>$C$32=$O$18</formula>
    </cfRule>
  </conditionalFormatting>
  <conditionalFormatting sqref="C34">
    <cfRule type="expression" dxfId="4" priority="7">
      <formula>$C$34=$O$21</formula>
    </cfRule>
  </conditionalFormatting>
  <conditionalFormatting sqref="E14:F14">
    <cfRule type="expression" dxfId="3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$O$55:$O$60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0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0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86" t="s">
        <v>157</v>
      </c>
      <c r="C2" s="86"/>
      <c r="D2" s="86"/>
      <c r="E2" s="86"/>
      <c r="F2" s="86"/>
      <c r="G2" s="86"/>
      <c r="H2" s="86"/>
      <c r="I2" s="86"/>
      <c r="J2" s="86"/>
      <c r="K2" s="86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91" t="s">
        <v>11</v>
      </c>
      <c r="C4" s="91"/>
      <c r="D4" s="91"/>
      <c r="E4" s="91"/>
      <c r="F4" s="73"/>
      <c r="H4" s="91" t="s">
        <v>10</v>
      </c>
      <c r="I4" s="91"/>
      <c r="J4" s="91"/>
      <c r="K4" s="91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122" t="s">
        <v>0</v>
      </c>
      <c r="C6" s="123"/>
      <c r="D6" s="123"/>
      <c r="E6" s="100">
        <v>2600</v>
      </c>
      <c r="F6" s="101"/>
      <c r="H6" s="92" t="s">
        <v>7</v>
      </c>
      <c r="I6" s="93"/>
      <c r="J6" s="26" t="s">
        <v>5</v>
      </c>
      <c r="K6" s="1">
        <f>E6-35</f>
        <v>2565</v>
      </c>
      <c r="O6" s="24" t="s">
        <v>20</v>
      </c>
    </row>
    <row r="7" spans="2:15" s="20" customFormat="1" ht="20.100000000000001" customHeight="1" thickBot="1" x14ac:dyDescent="0.35">
      <c r="B7" s="124" t="s">
        <v>14</v>
      </c>
      <c r="C7" s="125"/>
      <c r="D7" s="125"/>
      <c r="E7" s="102">
        <v>1400</v>
      </c>
      <c r="F7" s="103"/>
      <c r="H7" s="94"/>
      <c r="I7" s="95"/>
      <c r="J7" s="27" t="s">
        <v>6</v>
      </c>
      <c r="K7" s="2">
        <f>IF(E9=O55,P55,IF(E9=O56,P56,0))</f>
        <v>708</v>
      </c>
      <c r="O7" s="24" t="s">
        <v>21</v>
      </c>
    </row>
    <row r="8" spans="2:15" s="20" customFormat="1" ht="20.100000000000001" customHeight="1" thickBot="1" x14ac:dyDescent="0.35">
      <c r="B8" s="126" t="s">
        <v>23</v>
      </c>
      <c r="C8" s="127"/>
      <c r="D8" s="127"/>
      <c r="E8" s="102" t="s">
        <v>17</v>
      </c>
      <c r="F8" s="103"/>
      <c r="H8" s="28"/>
      <c r="I8" s="28"/>
      <c r="J8" s="29"/>
      <c r="K8" s="3"/>
    </row>
    <row r="9" spans="2:15" s="20" customFormat="1" ht="20.100000000000001" customHeight="1" x14ac:dyDescent="0.3">
      <c r="B9" s="130" t="s">
        <v>63</v>
      </c>
      <c r="C9" s="131"/>
      <c r="D9" s="131"/>
      <c r="E9" s="128" t="s">
        <v>65</v>
      </c>
      <c r="F9" s="129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26" t="s">
        <v>1</v>
      </c>
      <c r="C10" s="127"/>
      <c r="D10" s="127"/>
      <c r="E10" s="104">
        <f>IF(E8=O3,2,IF(E8=O4,3,IF(E8=O5,4,IF(E8=O6,4,IF(E8=O7,5)))))</f>
        <v>2</v>
      </c>
      <c r="F10" s="105"/>
      <c r="H10" s="69" t="s">
        <v>36</v>
      </c>
      <c r="I10" s="67" t="s">
        <v>144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126" t="s">
        <v>91</v>
      </c>
      <c r="C11" s="127"/>
      <c r="D11" s="127"/>
      <c r="E11" s="104">
        <f>IF(E8=O3,1,IF(E8=O4,2,IF(E8=O5,3,IF(E8=O6,2,IF(E8=O7,4)))))</f>
        <v>1</v>
      </c>
      <c r="F11" s="105"/>
      <c r="H11" s="69" t="s">
        <v>37</v>
      </c>
      <c r="I11" s="67" t="s">
        <v>143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130" t="s">
        <v>73</v>
      </c>
      <c r="C12" s="131"/>
      <c r="D12" s="131"/>
      <c r="E12" s="128" t="s">
        <v>71</v>
      </c>
      <c r="F12" s="129"/>
      <c r="H12" s="72" t="str">
        <f>IF(E9=O55,O69,O70)</f>
        <v>Вертикальный профиль C</v>
      </c>
      <c r="I12" s="32" t="str">
        <f>IF(E9=O55,P69,P70)</f>
        <v>AE0704.VP480</v>
      </c>
      <c r="J12" s="4">
        <f>$K$6</f>
        <v>2565</v>
      </c>
      <c r="K12" s="5">
        <f>IF(J12&gt;0,$E$10*2,0)</f>
        <v>4</v>
      </c>
      <c r="L12" s="19">
        <v>0.38500000000000001</v>
      </c>
      <c r="M12" s="77">
        <f>IF(H12=O69,L12*J12*K12/1000,0)</f>
        <v>3.9500999999999999</v>
      </c>
      <c r="O12" s="13" t="s">
        <v>34</v>
      </c>
    </row>
    <row r="13" spans="2:15" s="20" customFormat="1" ht="20.100000000000001" customHeight="1" x14ac:dyDescent="0.35">
      <c r="B13" s="132" t="s">
        <v>15</v>
      </c>
      <c r="C13" s="133"/>
      <c r="D13" s="133"/>
      <c r="E13" s="106">
        <v>0</v>
      </c>
      <c r="F13" s="107"/>
      <c r="H13" s="72" t="s">
        <v>82</v>
      </c>
      <c r="I13" s="32" t="s">
        <v>145</v>
      </c>
      <c r="J13" s="4">
        <f>IF(OR(E9=O55,E9=O58,E9=O59,E9=O60),K7-51,IF(E9=O56,K7-68,K7-76))</f>
        <v>657</v>
      </c>
      <c r="K13" s="5">
        <f>E10</f>
        <v>2</v>
      </c>
      <c r="L13" s="19">
        <v>0.47199999999999998</v>
      </c>
      <c r="M13" s="77">
        <f>IF(H12=O70,L12*J12*K12/1000,0)</f>
        <v>0</v>
      </c>
      <c r="O13" s="13" t="s">
        <v>35</v>
      </c>
    </row>
    <row r="14" spans="2:15" s="20" customFormat="1" ht="20.100000000000001" customHeight="1" x14ac:dyDescent="0.35">
      <c r="B14" s="130" t="s">
        <v>60</v>
      </c>
      <c r="C14" s="131"/>
      <c r="D14" s="131"/>
      <c r="E14" s="128" t="s">
        <v>47</v>
      </c>
      <c r="F14" s="129"/>
      <c r="H14" s="72" t="s">
        <v>83</v>
      </c>
      <c r="I14" s="32" t="s">
        <v>146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46" t="s">
        <v>48</v>
      </c>
      <c r="C15" s="147"/>
      <c r="D15" s="147"/>
      <c r="E15" s="148" t="s">
        <v>50</v>
      </c>
      <c r="F15" s="149"/>
      <c r="H15" s="72" t="s">
        <v>84</v>
      </c>
      <c r="I15" s="32" t="s">
        <v>147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148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10" t="s">
        <v>4</v>
      </c>
      <c r="K18" s="111"/>
      <c r="M18" s="35">
        <f>SUM(M10:M17)/E10</f>
        <v>2.96685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140</v>
      </c>
      <c r="J19" s="112">
        <f>IF(E9=O55,E10,0)</f>
        <v>2</v>
      </c>
      <c r="K19" s="113"/>
    </row>
    <row r="20" spans="2:15" s="20" customFormat="1" ht="20.100000000000001" customHeight="1" thickBot="1" x14ac:dyDescent="0.35">
      <c r="H20" s="81" t="s">
        <v>38</v>
      </c>
      <c r="I20" s="37" t="s">
        <v>123</v>
      </c>
      <c r="J20" s="112">
        <f>IF(E9=O56,E10,0)</f>
        <v>0</v>
      </c>
      <c r="K20" s="113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138</v>
      </c>
      <c r="J21" s="114">
        <f>ROUNDUP((IF(C25=O12,(D25+E25)*2*F25,0)
+IF(C26=O12,(D26+E26)*2*F26,0)
+IF(C27=O12,(D27+E27)*2*F27,0)
+IF(C28=O12,(D28+E28)*2*F28,0)
+IF(C29=O12,(D29+E29)*2*F29,0))/1000,0)</f>
        <v>0</v>
      </c>
      <c r="K21" s="115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139</v>
      </c>
      <c r="J22" s="114">
        <f>ROUNDUP((IF(C25=O13,(D25+E25)*2*F25,0)
+IF(C26=O13,(D26+E26)*2*F26,0)
+IF(C27=O13,(D27+E27)*2*F27,0)
+IF(C28=O13,(D28+E28)*2*F28,0)
+IF(C29=O13,(D29+E29)*2*F29,0))/1000,0)</f>
        <v>13</v>
      </c>
      <c r="K22" s="115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134</v>
      </c>
      <c r="J23" s="87">
        <f>IF(E14=O42,E10*2,0)</f>
        <v>4</v>
      </c>
      <c r="K23" s="116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135</v>
      </c>
      <c r="J24" s="117">
        <f>IF(E15=O46,K13*2+K14*2+K15*2+K16*2,0)</f>
        <v>0</v>
      </c>
      <c r="K24" s="118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IF(D26=0,0,IF(C26=O11,D26,IF(C26=O12,D26+2,D26+3)))-59-
IF(C25=O12,2,IF(C25=O13,3,0))-E13*IF(E12=O63,9,1.4),0)</f>
        <v>2503</v>
      </c>
      <c r="E25" s="47">
        <f>IF(AND(C25=O11,E9=O55),K7-36,IF(AND(C25=O11,E9=O56),K7-54,
IF(AND(C25=O12,E9=O55),K7-36-2,IF(AND(C25=O12,E9=O56),K7-54-2,
IF(AND(C25=O13,E9=O55),K7-36-3,IF(AND(C25=O13,E9=O56),K7-54-3,0))))))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129</v>
      </c>
      <c r="J25" s="89">
        <f>IF(E15=O47,ROUNDUP(K12*K6/1000,0),0)</f>
        <v>11</v>
      </c>
      <c r="K25" s="119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IF(AND(C26=O11,E9=O55),K7-36,IF(AND(C26=O11,E9=O56),K7-54,
IF(AND(C26=O12,E9=O55),K7-36-2,IF(AND(C26=O12,E9=O56),K7-54-2,
IF(AND(C26=O13,E9=O55),K7-36-3,IF(AND(C26=O13,E9=O56),K7-54-3,0))))))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83" t="s">
        <v>136</v>
      </c>
      <c r="J26" s="87">
        <f>IF(J25&gt;0,K12*2,0)</f>
        <v>8</v>
      </c>
      <c r="K26" s="116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IF(AND(C27=O11,E9=O55),K7-36,IF(AND(C27=O11,E9=O56),K7-54,
IF(AND(C27=O12,E9=O55),K7-36-2,IF(AND(C27=O12,E9=O56),K7-54-2,
IF(AND(C27=O13,E9=O55),K7-36-3,IF(AND(C27=O13,E9=O56),K7-54-3,0))))))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128</v>
      </c>
      <c r="J27" s="108">
        <f>K15*2</f>
        <v>0</v>
      </c>
      <c r="K27" s="109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IF(AND(C28=O11,E9=O55),K7-36,IF(AND(C28=O11,E9=O56),K7-54,
IF(AND(C28=O12,E9=O55),K7-36-2,IF(AND(C28=O12,E9=O56),K7-54-2,
IF(AND(C28=O13,E9=O55),K7-36-3,IF(AND(C28=O13,E9=O56),K7-54-3,0))))))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IF(AND(C29=O11,E9=O55),K7-36,IF(AND(C29=O11,E9=O56),K7-54,
IF(AND(C29=O12,E9=O55),K7-36-2,IF(AND(C29=O12,E9=O56),K7-54-2,
IF(AND(C29=O13,E9=O55),K7-36-3,IF(AND(C29=O13,E9=O56),K7-54-3,0))))))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82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18.419577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85" t="str">
        <f>IF(AND(SUM(G25:G29)/C21=1,D29=0,C21&lt;&gt;1),O21,O22)</f>
        <v xml:space="preserve"> </v>
      </c>
      <c r="D33" s="85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18.419577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22.455748350000004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141</v>
      </c>
    </row>
    <row r="70" spans="15:16" x14ac:dyDescent="0.35">
      <c r="O70" s="76" t="s">
        <v>77</v>
      </c>
      <c r="P70" s="32" t="s">
        <v>142</v>
      </c>
    </row>
  </sheetData>
  <sheetProtection algorithmName="SHA-512" hashValue="eyaOVL9rh0oM/mHp29nx5egaYMyIoIZ9ox4q+p7z7OgSkmPxaYwveyXgEpmS37gNfgOu4FC6eWLXJ/WOg6pNXA==" saltValue="UUXxYsmprhEdo6ZDoUfZYg==" spinCount="100000" sheet="1" selectLockedCells="1"/>
  <mergeCells count="35">
    <mergeCell ref="C33:D33"/>
    <mergeCell ref="J27:K27"/>
    <mergeCell ref="J23:K23"/>
    <mergeCell ref="J24:K24"/>
    <mergeCell ref="J25:K25"/>
    <mergeCell ref="J26:K26"/>
    <mergeCell ref="J20:K20"/>
    <mergeCell ref="J21:K21"/>
    <mergeCell ref="J22:K22"/>
    <mergeCell ref="J18:K18"/>
    <mergeCell ref="J19:K19"/>
    <mergeCell ref="B15:D15"/>
    <mergeCell ref="E15:F15"/>
    <mergeCell ref="B13:D13"/>
    <mergeCell ref="E13:F13"/>
    <mergeCell ref="B14:D14"/>
    <mergeCell ref="E14:F14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2:K2"/>
    <mergeCell ref="B4:E4"/>
    <mergeCell ref="H4:K4"/>
    <mergeCell ref="B6:D6"/>
    <mergeCell ref="E6:F6"/>
    <mergeCell ref="H6:I7"/>
    <mergeCell ref="B7:D7"/>
    <mergeCell ref="E7:F7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</vt:lpstr>
      <vt:lpstr>'Раздвижные двери'!Область_печати</vt:lpstr>
      <vt:lpstr>'Распашные двери'!Область_печати</vt:lpstr>
      <vt:lpstr>Эко!Область_печати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2021-06-28T06:28:29Z</dcterms:modified>
</cp:coreProperties>
</file>