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KfUhRLmhPeI7oDa8SugkPJHKHfde/Sp0DXNYPGEwrdJqTjnCDUivnhjVRy5O9ku4jk+bKhBpoOd0TA0+5/0JzQ==" workbookSaltValue="POymnrji050FtQw/QA6yiQ==" workbookSpinCount="100000" lockStructure="1"/>
  <bookViews>
    <workbookView xWindow="0" yWindow="0" windowWidth="22920" windowHeight="9168" tabRatio="874"/>
  </bookViews>
  <sheets>
    <sheet name="Видимый верхний трек" sheetId="1" r:id="rId1"/>
  </sheets>
  <definedNames>
    <definedName name="Print_Area" localSheetId="0">'Видимый верхний трек'!$A$2:$K$56</definedName>
    <definedName name="_xlnm.Print_Area" localSheetId="0">'Видимый верхний трек'!$A$1:$M$56</definedName>
  </definedNames>
  <calcPr calcId="162913" concurrentCalc="0"/>
</workbook>
</file>

<file path=xl/calcChain.xml><?xml version="1.0" encoding="utf-8"?>
<calcChain xmlns="http://schemas.openxmlformats.org/spreadsheetml/2006/main">
  <c r="J22" i="1" l="1"/>
  <c r="K7" i="1"/>
  <c r="K11" i="1"/>
  <c r="D37" i="1"/>
  <c r="K8" i="1"/>
  <c r="K12" i="1"/>
  <c r="E37" i="1"/>
  <c r="J39" i="1"/>
  <c r="J40" i="1"/>
  <c r="J21" i="1"/>
  <c r="K21" i="1"/>
  <c r="E41" i="1"/>
  <c r="J37" i="1"/>
  <c r="J57" i="1"/>
  <c r="E40" i="1"/>
  <c r="K19" i="1"/>
  <c r="J19" i="1"/>
  <c r="J18" i="1"/>
  <c r="K20" i="1"/>
  <c r="J20" i="1"/>
  <c r="J58" i="1"/>
  <c r="J55" i="1"/>
  <c r="J48" i="1"/>
  <c r="J47" i="1"/>
  <c r="E13" i="1"/>
  <c r="E12" i="1"/>
  <c r="M37" i="1"/>
  <c r="M41" i="1"/>
  <c r="E38" i="1"/>
  <c r="M38" i="1"/>
  <c r="E39" i="1"/>
  <c r="M39" i="1"/>
  <c r="M40" i="1"/>
  <c r="M42" i="1"/>
  <c r="J43" i="1"/>
  <c r="M21" i="1"/>
  <c r="J28" i="1"/>
  <c r="K28" i="1"/>
  <c r="M28" i="1"/>
  <c r="J29" i="1"/>
  <c r="K29" i="1"/>
  <c r="M29" i="1"/>
  <c r="J30" i="1"/>
  <c r="K30" i="1"/>
  <c r="M30" i="1"/>
  <c r="J34" i="1"/>
  <c r="K34" i="1"/>
  <c r="M34" i="1"/>
  <c r="K17" i="1"/>
  <c r="J17" i="1"/>
  <c r="M17" i="1"/>
  <c r="K18" i="1"/>
  <c r="M18" i="1"/>
  <c r="M19" i="1"/>
  <c r="M20" i="1"/>
  <c r="K22" i="1"/>
  <c r="M22" i="1"/>
  <c r="K23" i="1"/>
  <c r="M23" i="1"/>
  <c r="K24" i="1"/>
  <c r="M24" i="1"/>
  <c r="K25" i="1"/>
  <c r="J25" i="1"/>
  <c r="M25" i="1"/>
  <c r="J26" i="1"/>
  <c r="K26" i="1"/>
  <c r="M26" i="1"/>
  <c r="J27" i="1"/>
  <c r="K27" i="1"/>
  <c r="M27" i="1"/>
  <c r="J31" i="1"/>
  <c r="K31" i="1"/>
  <c r="M31" i="1"/>
  <c r="J32" i="1"/>
  <c r="K32" i="1"/>
  <c r="M32" i="1"/>
  <c r="J33" i="1"/>
  <c r="K33" i="1"/>
  <c r="M33" i="1"/>
  <c r="M35" i="1"/>
  <c r="M45" i="1"/>
  <c r="J42" i="1"/>
  <c r="J41" i="1"/>
  <c r="C34" i="1"/>
  <c r="J45" i="1"/>
  <c r="J38" i="1"/>
  <c r="G37" i="1"/>
  <c r="G41" i="1"/>
  <c r="G40" i="1"/>
  <c r="C47" i="1"/>
  <c r="J15" i="1"/>
  <c r="J56" i="1"/>
  <c r="J54" i="1"/>
  <c r="K16" i="1"/>
  <c r="I16" i="1"/>
  <c r="H16" i="1"/>
  <c r="J23" i="1"/>
  <c r="J24" i="1"/>
  <c r="J52" i="1"/>
  <c r="J53" i="1"/>
  <c r="J49" i="1"/>
  <c r="J16" i="1"/>
  <c r="G38" i="1"/>
  <c r="G39" i="1"/>
  <c r="D34" i="1"/>
  <c r="J50" i="1"/>
  <c r="J44" i="1"/>
  <c r="C45" i="1"/>
  <c r="C43" i="1"/>
  <c r="D43" i="1"/>
  <c r="J46" i="1"/>
  <c r="J51" i="1"/>
  <c r="E61" i="1"/>
</calcChain>
</file>

<file path=xl/sharedStrings.xml><?xml version="1.0" encoding="utf-8"?>
<sst xmlns="http://schemas.openxmlformats.org/spreadsheetml/2006/main" count="182" uniqueCount="145">
  <si>
    <t>Количество дверей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</si>
  <si>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</si>
  <si>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</si>
  <si>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</si>
  <si>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</si>
  <si>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</si>
  <si>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</si>
  <si>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</si>
  <si>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</si>
  <si>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</si>
  <si>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</si>
  <si>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r>
      <t>высота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u/>
        <sz val="8"/>
        <color theme="1"/>
        <rFont val="Calibri"/>
        <family val="2"/>
        <charset val="204"/>
        <scheme val="minor"/>
      </rPr>
      <t>общая</t>
    </r>
  </si>
  <si>
    <t>Для расчёта размеров и количества комплектующих введите данные в таблицу</t>
  </si>
  <si>
    <t xml:space="preserve"> </t>
  </si>
  <si>
    <t>Ширина проёма, перекрываемого дверями</t>
  </si>
  <si>
    <t xml:space="preserve">РАСЧЁТ ДВЕРЕЙ ARISTO NOVA </t>
  </si>
  <si>
    <t>Шлегель в паз вертикального профиля</t>
  </si>
  <si>
    <t>Ручка врезная L=200 мм, в сборе (количество ручек для одной двери)</t>
  </si>
  <si>
    <t>Количество узких средних рамок для одной двери</t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</si>
  <si>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закрытых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</si>
  <si>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открытых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</si>
  <si>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t>Ручка врезная (длина, количество ручек для одной двери)</t>
  </si>
  <si>
    <t>Соединительная пластина</t>
  </si>
  <si>
    <t>артикул</t>
  </si>
  <si>
    <t xml:space="preserve">Направляющая верхняя </t>
  </si>
  <si>
    <t xml:space="preserve">Направляющая нижняя </t>
  </si>
  <si>
    <t xml:space="preserve">NOVA Вертикальный профиль </t>
  </si>
  <si>
    <t xml:space="preserve">NOVA Рамка горизонтальная узкая </t>
  </si>
  <si>
    <t xml:space="preserve">NOVA Рамка средняя закрытая (делитель двери) </t>
  </si>
  <si>
    <t xml:space="preserve">NOVA Рамка средняя закрытая (стыковка с врезной ручкой) </t>
  </si>
  <si>
    <t xml:space="preserve">NOVA Усилитель вертикальный </t>
  </si>
  <si>
    <t xml:space="preserve">NOVA Рамка средняя открытая (делитель двери) </t>
  </si>
  <si>
    <t xml:space="preserve">NOVA Рамка средняя открытая (врезная ручка) </t>
  </si>
  <si>
    <t xml:space="preserve">NOVA Торцевой профиль ручки </t>
  </si>
  <si>
    <t>Выберите элемент соединения вставок двери:</t>
  </si>
  <si>
    <t>Саморез 2,9*19 мм с потайной головкой</t>
  </si>
  <si>
    <t>Саморез 3,9*16 мм с полукруглой головкой</t>
  </si>
  <si>
    <t>Саморез 2,9*13 мм с потайной головкой</t>
  </si>
  <si>
    <t>Саморез 3,9*9,5 мм с полукруглой головкой</t>
  </si>
  <si>
    <t>Наполнение</t>
  </si>
  <si>
    <t>Вставка 2</t>
  </si>
  <si>
    <t>Вставка 3</t>
  </si>
  <si>
    <t>Вставка 4</t>
  </si>
  <si>
    <t>Материал</t>
  </si>
  <si>
    <t>Высота</t>
  </si>
  <si>
    <t>Ширина</t>
  </si>
  <si>
    <t>ЛДСП 16</t>
  </si>
  <si>
    <t>Зеркало/Стекло 4 мм</t>
  </si>
  <si>
    <t>NOVA Широкий профиль для зеркала/стекла горизонтальный</t>
  </si>
  <si>
    <t>NOVA Узкий профиль для зеркала/стекла горизонтальный</t>
  </si>
  <si>
    <t>NOVA Узкий профиль для зеркала/стекла вертикальный вставка 1</t>
  </si>
  <si>
    <t>NOVA Узкий профиль для зеркала/стекла вертикальный вставка 2</t>
  </si>
  <si>
    <t>NOVA Узкий профиль для зеркала/стекла вертикальный вставка 3</t>
  </si>
  <si>
    <t>NOVA Узкий профиль для зеркала/стекла вертикальный вставка 4</t>
  </si>
  <si>
    <t>NOVA Узкий профиль для зеркала/стекла вертикальный вставка 5</t>
  </si>
  <si>
    <t>Количество вставок:</t>
  </si>
  <si>
    <t>Вставка 1 (считается автоматически)</t>
  </si>
  <si>
    <t>Вставка 5 (низ двери)</t>
  </si>
  <si>
    <t>Неверно внесены высоты вставок</t>
  </si>
  <si>
    <t>Верно внесены высоты вставок</t>
  </si>
  <si>
    <t>Не рекомендуем</t>
  </si>
  <si>
    <t>Высота зеркальной вставки меньше 130 мм</t>
  </si>
  <si>
    <t>NOVA Соединительный профиль</t>
  </si>
  <si>
    <t>I-----____I</t>
  </si>
  <si>
    <t>I-----____-----I</t>
  </si>
  <si>
    <t>I-----____-----____I</t>
  </si>
  <si>
    <t>I-----____  ____-----I</t>
  </si>
  <si>
    <t>I-----____-----____-----I</t>
  </si>
  <si>
    <t>Рсположение дверей</t>
  </si>
  <si>
    <t>Полотно двери:</t>
  </si>
  <si>
    <t>да</t>
  </si>
  <si>
    <t>нет</t>
  </si>
  <si>
    <t>Уплотнитель полиуретановый на боковую поверхность двери</t>
  </si>
  <si>
    <t>Укажите высоту Вставки 5 (низ двери)</t>
  </si>
  <si>
    <t>Обязательно обработать кромки зеркала или стекла перед сборкой двери</t>
  </si>
  <si>
    <t>Шлегель</t>
  </si>
  <si>
    <t>Уплотнитель полиуретановый</t>
  </si>
  <si>
    <t>Шлегель на боковую поверхность двери</t>
  </si>
  <si>
    <t>Вес одной двери:</t>
  </si>
  <si>
    <t>Замок универсальный</t>
  </si>
  <si>
    <t>Количество перекрытий (перекрытие 12 мм)</t>
  </si>
  <si>
    <t>Стопор верхний</t>
  </si>
  <si>
    <t>Врезная нижняя направляющая</t>
  </si>
  <si>
    <t>Направляющая нижняя врезная</t>
  </si>
  <si>
    <t>** в расчетах веса двери не учитывается уклон пола помещения</t>
  </si>
  <si>
    <t>Видимый верхний трек</t>
  </si>
  <si>
    <t>Скрытый верхний трек, корпус</t>
  </si>
  <si>
    <t>Скрытый верхний трек, проем</t>
  </si>
  <si>
    <t>Выберите вариант установки дверей*</t>
  </si>
  <si>
    <t>Количество доводчиков на внутренних дверях, штук</t>
  </si>
  <si>
    <t>Количество доводчиков на внешних дверях, штук</t>
  </si>
  <si>
    <t>* Толщина деталей корпуса шкафа 16мм</t>
  </si>
  <si>
    <t>Варианты установки дверей</t>
  </si>
  <si>
    <t xml:space="preserve">* для варианта со скрытой верхней направляющей в корпус расчет по внутреннему проёму шкафа, зависит от наличия боковин и их толщины </t>
  </si>
  <si>
    <t>*** для варианта со скрытой верхней направляющей в корпус замок использовать совместно с доводчиками</t>
  </si>
  <si>
    <t>** Высота внутреннего проёма шкафа для варианта скрытого верхнего трека в корпус</t>
  </si>
  <si>
    <t>Высота проёма**</t>
  </si>
  <si>
    <t>Элемент для боковой поверхности двери***</t>
  </si>
  <si>
    <t>AS0504.VP540</t>
  </si>
  <si>
    <t>AS0690.VP540</t>
  </si>
  <si>
    <t>AS0046.VP540</t>
  </si>
  <si>
    <t>NB0487.VP540</t>
  </si>
  <si>
    <t>NB0442.VP540</t>
  </si>
  <si>
    <t>NB0486.VP540</t>
  </si>
  <si>
    <t>NB0638.VP540</t>
  </si>
  <si>
    <t>NB0485.VP540</t>
  </si>
  <si>
    <t>NB0448.VP540</t>
  </si>
  <si>
    <t>NA0480.VP540</t>
  </si>
  <si>
    <t>NB0651.VP540</t>
  </si>
  <si>
    <t>NB0505.VP540</t>
  </si>
  <si>
    <t>Ролики NOVA16, нижние</t>
  </si>
  <si>
    <t>Ролики NOVA16, верхние</t>
  </si>
  <si>
    <t>NB0165.VS000</t>
  </si>
  <si>
    <t>NA0169.VR000</t>
  </si>
  <si>
    <t>NA0166.VR000</t>
  </si>
  <si>
    <t>Кронштейн для внутренней двери</t>
  </si>
  <si>
    <t>NA0167.VR000</t>
  </si>
  <si>
    <t>Кронштейн для внешней двери</t>
  </si>
  <si>
    <t>Доводчики двери-купе универсальные**</t>
  </si>
  <si>
    <t>AA0230.VR000</t>
  </si>
  <si>
    <t>AA0250.VR000</t>
  </si>
  <si>
    <t>AA0270.VR000</t>
  </si>
  <si>
    <t>Ручка врезная</t>
  </si>
  <si>
    <t>NA0204.VP200</t>
  </si>
  <si>
    <t>Пластина соединительная</t>
  </si>
  <si>
    <t>NA0205.VP000</t>
  </si>
  <si>
    <t>Замок универсальный для дверей-купе***</t>
  </si>
  <si>
    <t>AS0812.VP000</t>
  </si>
  <si>
    <t>AS0001.VP000</t>
  </si>
  <si>
    <t>AA0956.VM150</t>
  </si>
  <si>
    <t>AA0104.VM100</t>
  </si>
  <si>
    <t>AA0100.VM100</t>
  </si>
  <si>
    <t>Уплотнитель для нижней направляющей</t>
  </si>
  <si>
    <t>NA0206.VP000</t>
  </si>
  <si>
    <t>Уголок соединительный рамы под стекло</t>
  </si>
  <si>
    <t>NA0097.VM100</t>
  </si>
  <si>
    <t>Лента демпферная самоклеящаяся</t>
  </si>
  <si>
    <t>Выпрямитель накладной</t>
  </si>
  <si>
    <t>Выпрямитель накладной (для дверей с наполнением ЛДСП)</t>
  </si>
  <si>
    <t>NA0208.VP200</t>
  </si>
  <si>
    <t>NA3916.VP000</t>
  </si>
  <si>
    <t>NA3995.VP000</t>
  </si>
  <si>
    <t>NA2919.VP000</t>
  </si>
  <si>
    <t>NA2913.VP000</t>
  </si>
  <si>
    <t>*** Не учитывается для варианта скрытого верхнего трека в корпус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</si>
</sst>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&quot; мм&quot;"/>
    <numFmt numFmtId="165" formatCode="#,##0&quot; м&quot;"/>
    <numFmt numFmtId="166" formatCode="#,##0&quot; мм*&quot;"/>
    <numFmt numFmtId="167" formatCode="0.0"/>
    <numFmt numFmtId="169" formatCode="#,##0&quot; комп.&quot;"/>
    <numFmt numFmtId="170" formatCode="#,##0&quot; кг.&quot;"/>
    <numFmt numFmtId="171" formatCode="#,##0&quot; шт.&quot;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8"/>
      <color theme="1"/>
      <name val="Calibri"/>
      <family val="2"/>
      <charset val="204"/>
      <scheme val="minor"/>
    </font>
    <font>
      <u/>
      <sz val="8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6">
    <xf numFmtId="0" fontId="0" fillId="0" borderId="0" xfId="0"/>
    <xf numFmtId="164" fontId="3" fillId="0" borderId="5" xfId="0" applyNumberFormat="1" applyFont="1" applyBorder="1" applyAlignment="1" applyProtection="1">
      <alignment horizontal="center" vertical="center"/>
    </xf>
    <xf numFmtId="164" fontId="3" fillId="0" borderId="7" xfId="0" applyNumberFormat="1" applyFont="1" applyBorder="1" applyAlignment="1" applyProtection="1">
      <alignment horizontal="center" vertical="center"/>
    </xf>
    <xf numFmtId="164" fontId="3" fillId="0" borderId="0" xfId="0" applyNumberFormat="1" applyFont="1" applyFill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center" vertical="center"/>
    </xf>
    <xf numFmtId="164" fontId="3" fillId="0" borderId="1" xfId="0" applyNumberFormat="1" applyFont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164" fontId="3" fillId="0" borderId="20" xfId="0" applyNumberFormat="1" applyFont="1" applyBorder="1" applyAlignment="1" applyProtection="1">
      <alignment horizontal="center" vertical="center"/>
    </xf>
    <xf numFmtId="0" fontId="3" fillId="0" borderId="19" xfId="0" applyFont="1" applyBorder="1" applyAlignment="1" applyProtection="1">
      <alignment horizontal="center" vertical="center"/>
    </xf>
    <xf numFmtId="166" fontId="3" fillId="0" borderId="3" xfId="0" applyNumberFormat="1" applyFont="1" applyFill="1" applyBorder="1" applyAlignment="1" applyProtection="1">
      <alignment horizontal="center" vertical="center"/>
    </xf>
    <xf numFmtId="1" fontId="3" fillId="0" borderId="19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vertical="center"/>
      <protection locked="0"/>
    </xf>
    <xf numFmtId="164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4" borderId="1" xfId="0" applyNumberFormat="1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vertical="center"/>
      <protection locked="0"/>
    </xf>
    <xf numFmtId="164" fontId="2" fillId="3" borderId="6" xfId="0" applyNumberFormat="1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vertical="center"/>
    </xf>
    <xf numFmtId="0" fontId="14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170" fontId="2" fillId="0" borderId="27" xfId="0" applyNumberFormat="1" applyFont="1" applyBorder="1" applyAlignment="1" applyProtection="1">
      <alignment vertical="center"/>
    </xf>
    <xf numFmtId="0" fontId="2" fillId="0" borderId="0" xfId="0" applyFont="1" applyProtection="1"/>
    <xf numFmtId="14" fontId="2" fillId="0" borderId="0" xfId="0" applyNumberFormat="1" applyFont="1" applyAlignment="1" applyProtection="1">
      <alignment horizontal="left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0" fontId="2" fillId="0" borderId="0" xfId="0" applyFont="1" applyFill="1" applyProtection="1"/>
    <xf numFmtId="0" fontId="3" fillId="0" borderId="0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righ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left" vertical="center"/>
    </xf>
    <xf numFmtId="0" fontId="10" fillId="2" borderId="23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left" vertical="center"/>
    </xf>
    <xf numFmtId="167" fontId="10" fillId="0" borderId="24" xfId="0" applyNumberFormat="1" applyFont="1" applyFill="1" applyBorder="1" applyAlignment="1" applyProtection="1">
      <alignment horizontal="center" vertical="center"/>
    </xf>
    <xf numFmtId="0" fontId="5" fillId="0" borderId="0" xfId="0" applyFont="1" applyProtection="1"/>
    <xf numFmtId="0" fontId="10" fillId="0" borderId="1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vertical="center"/>
    </xf>
    <xf numFmtId="167" fontId="10" fillId="0" borderId="1" xfId="0" applyNumberFormat="1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vertical="center"/>
    </xf>
    <xf numFmtId="0" fontId="2" fillId="0" borderId="0" xfId="0" applyFont="1" applyAlignment="1" applyProtection="1">
      <alignment horizontal="right"/>
    </xf>
    <xf numFmtId="0" fontId="2" fillId="2" borderId="27" xfId="0" applyFont="1" applyFill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164" fontId="2" fillId="0" borderId="10" xfId="0" applyNumberFormat="1" applyFont="1" applyBorder="1" applyAlignment="1" applyProtection="1">
      <alignment horizontal="center" vertical="center"/>
    </xf>
    <xf numFmtId="0" fontId="12" fillId="0" borderId="0" xfId="0" applyFont="1" applyFill="1" applyAlignment="1" applyProtection="1">
      <alignment vertical="center"/>
    </xf>
    <xf numFmtId="0" fontId="2" fillId="0" borderId="27" xfId="0" applyFont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0" fontId="3" fillId="0" borderId="11" xfId="0" applyFont="1" applyBorder="1" applyAlignment="1" applyProtection="1">
      <alignment vertical="center"/>
    </xf>
    <xf numFmtId="164" fontId="2" fillId="0" borderId="7" xfId="0" applyNumberFormat="1" applyFont="1" applyBorder="1" applyAlignment="1" applyProtection="1">
      <alignment horizontal="center" vertical="center"/>
    </xf>
    <xf numFmtId="0" fontId="2" fillId="0" borderId="27" xfId="0" applyFont="1" applyBorder="1" applyProtection="1"/>
    <xf numFmtId="0" fontId="2" fillId="3" borderId="27" xfId="0" applyFont="1" applyFill="1" applyBorder="1" applyProtection="1"/>
    <xf numFmtId="0" fontId="0" fillId="0" borderId="0" xfId="0" applyBorder="1" applyAlignment="1" applyProtection="1">
      <alignment vertical="top" wrapText="1"/>
    </xf>
    <xf numFmtId="0" fontId="2" fillId="0" borderId="9" xfId="0" applyFont="1" applyFill="1" applyBorder="1" applyAlignment="1" applyProtection="1">
      <alignment vertical="center" wrapText="1"/>
    </xf>
    <xf numFmtId="0" fontId="5" fillId="0" borderId="9" xfId="0" applyFont="1" applyBorder="1" applyAlignment="1" applyProtection="1">
      <alignment vertical="center"/>
    </xf>
    <xf numFmtId="0" fontId="2" fillId="0" borderId="0" xfId="0" applyFont="1" applyBorder="1" applyProtection="1"/>
    <xf numFmtId="0" fontId="2" fillId="0" borderId="13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top"/>
    </xf>
    <xf numFmtId="0" fontId="2" fillId="0" borderId="26" xfId="0" applyFont="1" applyBorder="1" applyAlignment="1" applyProtection="1">
      <alignment vertical="center"/>
    </xf>
    <xf numFmtId="0" fontId="3" fillId="0" borderId="16" xfId="0" applyFont="1" applyBorder="1" applyAlignment="1" applyProtection="1">
      <alignment horizontal="center" vertical="center"/>
    </xf>
    <xf numFmtId="0" fontId="10" fillId="2" borderId="4" xfId="0" applyFont="1" applyFill="1" applyBorder="1" applyAlignment="1" applyProtection="1">
      <alignment horizontal="center" vertical="center"/>
    </xf>
    <xf numFmtId="0" fontId="5" fillId="0" borderId="0" xfId="0" applyFont="1" applyFill="1" applyBorder="1" applyProtection="1"/>
    <xf numFmtId="0" fontId="2" fillId="0" borderId="0" xfId="0" applyFont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/>
    </xf>
    <xf numFmtId="164" fontId="2" fillId="0" borderId="0" xfId="0" applyNumberFormat="1" applyFont="1" applyBorder="1" applyAlignment="1" applyProtection="1">
      <alignment horizontal="center" vertical="center"/>
    </xf>
    <xf numFmtId="170" fontId="2" fillId="0" borderId="0" xfId="0" applyNumberFormat="1" applyFont="1" applyBorder="1" applyAlignment="1" applyProtection="1">
      <alignment vertical="center"/>
    </xf>
    <xf numFmtId="0" fontId="15" fillId="0" borderId="27" xfId="0" applyFont="1" applyBorder="1" applyAlignment="1" applyProtection="1">
      <alignment horizontal="center" vertical="center"/>
    </xf>
    <xf numFmtId="0" fontId="9" fillId="0" borderId="0" xfId="0" applyFont="1" applyFill="1" applyAlignment="1" applyProtection="1"/>
    <xf numFmtId="0" fontId="2" fillId="0" borderId="0" xfId="0" applyFont="1" applyBorder="1" applyAlignment="1" applyProtection="1">
      <alignment vertical="top" wrapText="1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left" vertical="center"/>
    </xf>
    <xf numFmtId="0" fontId="2" fillId="0" borderId="1" xfId="0" applyFont="1" applyBorder="1" applyAlignment="1" applyProtection="1">
      <alignment horizontal="left" vertical="center"/>
    </xf>
    <xf numFmtId="165" fontId="3" fillId="0" borderId="1" xfId="0" applyNumberFormat="1" applyFont="1" applyBorder="1" applyAlignment="1" applyProtection="1">
      <alignment horizontal="center" vertical="center" wrapText="1"/>
    </xf>
    <xf numFmtId="165" fontId="0" fillId="0" borderId="10" xfId="0" applyNumberFormat="1" applyBorder="1" applyAlignment="1" applyProtection="1">
      <alignment horizontal="center" vertical="center" wrapText="1"/>
    </xf>
    <xf numFmtId="171" fontId="3" fillId="0" borderId="1" xfId="0" applyNumberFormat="1" applyFont="1" applyBorder="1" applyAlignment="1" applyProtection="1">
      <alignment horizontal="center" vertical="center" wrapText="1"/>
    </xf>
    <xf numFmtId="171" fontId="13" fillId="0" borderId="10" xfId="0" applyNumberFormat="1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left" vertical="top"/>
    </xf>
    <xf numFmtId="0" fontId="2" fillId="0" borderId="5" xfId="0" applyFont="1" applyBorder="1" applyAlignment="1" applyProtection="1">
      <alignment horizontal="left" vertical="top"/>
    </xf>
    <xf numFmtId="0" fontId="2" fillId="3" borderId="28" xfId="0" applyFont="1" applyFill="1" applyBorder="1" applyAlignment="1" applyProtection="1">
      <alignment horizontal="left" vertical="top"/>
      <protection locked="0"/>
    </xf>
    <xf numFmtId="0" fontId="2" fillId="3" borderId="25" xfId="0" applyFont="1" applyFill="1" applyBorder="1" applyAlignment="1" applyProtection="1">
      <alignment horizontal="left" vertical="top"/>
      <protection locked="0"/>
    </xf>
    <xf numFmtId="171" fontId="0" fillId="0" borderId="10" xfId="0" applyNumberFormat="1" applyBorder="1" applyAlignment="1" applyProtection="1">
      <alignment horizontal="center" vertical="center" wrapText="1"/>
    </xf>
    <xf numFmtId="171" fontId="3" fillId="0" borderId="1" xfId="0" applyNumberFormat="1" applyFont="1" applyFill="1" applyBorder="1" applyAlignment="1" applyProtection="1">
      <alignment horizontal="center" vertical="center" wrapText="1"/>
    </xf>
    <xf numFmtId="171" fontId="0" fillId="0" borderId="10" xfId="0" applyNumberFormat="1" applyFill="1" applyBorder="1" applyAlignment="1" applyProtection="1">
      <alignment horizontal="center" vertical="center" wrapText="1"/>
    </xf>
    <xf numFmtId="171" fontId="3" fillId="0" borderId="10" xfId="0" applyNumberFormat="1" applyFont="1" applyFill="1" applyBorder="1" applyAlignment="1" applyProtection="1">
      <alignment horizontal="center" vertical="center" wrapText="1"/>
    </xf>
    <xf numFmtId="165" fontId="3" fillId="0" borderId="1" xfId="0" applyNumberFormat="1" applyFont="1" applyFill="1" applyBorder="1" applyAlignment="1" applyProtection="1">
      <alignment horizontal="center" vertical="center" wrapText="1"/>
    </xf>
    <xf numFmtId="165" fontId="3" fillId="0" borderId="10" xfId="0" applyNumberFormat="1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4" fillId="2" borderId="17" xfId="0" applyFont="1" applyFill="1" applyBorder="1" applyAlignment="1" applyProtection="1">
      <alignment horizontal="left" vertical="center"/>
    </xf>
    <xf numFmtId="0" fontId="4" fillId="2" borderId="21" xfId="0" applyFont="1" applyFill="1" applyBorder="1" applyAlignment="1" applyProtection="1">
      <alignment horizontal="left" vertical="center"/>
    </xf>
    <xf numFmtId="0" fontId="4" fillId="2" borderId="18" xfId="0" applyFont="1" applyFill="1" applyBorder="1" applyAlignment="1" applyProtection="1">
      <alignment horizontal="left" vertical="center"/>
    </xf>
    <xf numFmtId="0" fontId="4" fillId="2" borderId="22" xfId="0" applyFont="1" applyFill="1" applyBorder="1" applyAlignment="1" applyProtection="1">
      <alignment horizontal="left" vertical="center"/>
    </xf>
    <xf numFmtId="0" fontId="4" fillId="2" borderId="17" xfId="0" applyFont="1" applyFill="1" applyBorder="1" applyAlignment="1" applyProtection="1">
      <alignment horizontal="left" vertical="center" wrapText="1"/>
    </xf>
    <xf numFmtId="0" fontId="4" fillId="2" borderId="21" xfId="0" applyFont="1" applyFill="1" applyBorder="1" applyAlignment="1" applyProtection="1">
      <alignment horizontal="left" vertical="center" wrapText="1"/>
    </xf>
    <xf numFmtId="0" fontId="4" fillId="2" borderId="18" xfId="0" applyFont="1" applyFill="1" applyBorder="1" applyAlignment="1" applyProtection="1">
      <alignment horizontal="left" vertical="center" wrapText="1"/>
    </xf>
    <xf numFmtId="0" fontId="4" fillId="2" borderId="22" xfId="0" applyFont="1" applyFill="1" applyBorder="1" applyAlignment="1" applyProtection="1">
      <alignment horizontal="left" vertical="center" wrapText="1"/>
    </xf>
    <xf numFmtId="164" fontId="5" fillId="2" borderId="4" xfId="0" applyNumberFormat="1" applyFont="1" applyFill="1" applyBorder="1" applyAlignment="1" applyProtection="1">
      <alignment horizontal="center" vertical="center" wrapText="1"/>
    </xf>
    <xf numFmtId="0" fontId="1" fillId="2" borderId="5" xfId="0" applyFont="1" applyFill="1" applyBorder="1" applyAlignment="1" applyProtection="1">
      <alignment horizontal="center" vertical="center" wrapText="1"/>
    </xf>
    <xf numFmtId="169" fontId="3" fillId="0" borderId="1" xfId="0" applyNumberFormat="1" applyFont="1" applyBorder="1" applyAlignment="1" applyProtection="1">
      <alignment horizontal="center" vertical="center" wrapText="1"/>
    </xf>
    <xf numFmtId="169" fontId="3" fillId="0" borderId="10" xfId="0" applyNumberFormat="1" applyFont="1" applyBorder="1" applyAlignment="1" applyProtection="1">
      <alignment horizontal="center" vertical="center" wrapText="1"/>
    </xf>
    <xf numFmtId="169" fontId="0" fillId="0" borderId="10" xfId="0" applyNumberFormat="1" applyBorder="1" applyAlignment="1" applyProtection="1">
      <alignment horizontal="center" vertical="center" wrapText="1"/>
    </xf>
    <xf numFmtId="0" fontId="2" fillId="0" borderId="26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11" fillId="0" borderId="29" xfId="0" applyFont="1" applyBorder="1" applyAlignment="1" applyProtection="1">
      <alignment horizontal="left" vertical="center"/>
    </xf>
    <xf numFmtId="0" fontId="11" fillId="0" borderId="30" xfId="0" applyFont="1" applyBorder="1" applyAlignment="1" applyProtection="1">
      <alignment horizontal="left" vertical="center"/>
    </xf>
    <xf numFmtId="0" fontId="11" fillId="3" borderId="31" xfId="0" applyFont="1" applyFill="1" applyBorder="1" applyAlignment="1" applyProtection="1">
      <alignment horizontal="center" vertical="center"/>
      <protection locked="0"/>
    </xf>
    <xf numFmtId="0" fontId="11" fillId="3" borderId="33" xfId="0" applyFont="1" applyFill="1" applyBorder="1" applyAlignment="1" applyProtection="1">
      <alignment horizontal="center" vertical="center"/>
      <protection locked="0"/>
    </xf>
    <xf numFmtId="0" fontId="11" fillId="3" borderId="32" xfId="0" applyFont="1" applyFill="1" applyBorder="1" applyAlignment="1" applyProtection="1">
      <alignment horizontal="center" vertical="center"/>
      <protection locked="0"/>
    </xf>
    <xf numFmtId="164" fontId="3" fillId="3" borderId="4" xfId="0" applyNumberFormat="1" applyFont="1" applyFill="1" applyBorder="1" applyAlignment="1" applyProtection="1">
      <alignment horizontal="center" vertical="center"/>
      <protection locked="0"/>
    </xf>
    <xf numFmtId="164" fontId="3" fillId="3" borderId="5" xfId="0" applyNumberFormat="1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164" fontId="3" fillId="3" borderId="10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3" borderId="10" xfId="0" applyFont="1" applyFill="1" applyBorder="1" applyAlignment="1" applyProtection="1">
      <alignment horizontal="center" vertical="center"/>
      <protection locked="0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left" vertical="top"/>
    </xf>
    <xf numFmtId="0" fontId="2" fillId="0" borderId="9" xfId="0" applyFont="1" applyBorder="1" applyAlignment="1" applyProtection="1">
      <alignment horizontal="left" vertical="top"/>
    </xf>
    <xf numFmtId="0" fontId="2" fillId="0" borderId="1" xfId="0" applyFont="1" applyBorder="1" applyAlignment="1" applyProtection="1">
      <alignment horizontal="left" vertical="top"/>
    </xf>
    <xf numFmtId="0" fontId="2" fillId="0" borderId="9" xfId="0" applyFont="1" applyFill="1" applyBorder="1" applyAlignment="1" applyProtection="1">
      <alignment horizontal="left" vertical="top"/>
    </xf>
    <xf numFmtId="0" fontId="2" fillId="0" borderId="1" xfId="0" applyFont="1" applyFill="1" applyBorder="1" applyAlignment="1" applyProtection="1">
      <alignment horizontal="left" vertical="top"/>
    </xf>
    <xf numFmtId="0" fontId="15" fillId="0" borderId="31" xfId="0" applyFont="1" applyBorder="1" applyAlignment="1" applyProtection="1">
      <alignment horizontal="center" vertical="center"/>
    </xf>
    <xf numFmtId="0" fontId="15" fillId="0" borderId="33" xfId="0" applyFont="1" applyBorder="1" applyAlignment="1" applyProtection="1">
      <alignment horizontal="center" vertical="center"/>
    </xf>
    <xf numFmtId="0" fontId="15" fillId="0" borderId="32" xfId="0" applyFont="1" applyBorder="1" applyAlignment="1" applyProtection="1">
      <alignment horizontal="center" vertical="center"/>
    </xf>
    <xf numFmtId="0" fontId="15" fillId="0" borderId="31" xfId="0" applyFont="1" applyBorder="1" applyAlignment="1" applyProtection="1">
      <alignment horizontal="center"/>
    </xf>
    <xf numFmtId="0" fontId="15" fillId="0" borderId="33" xfId="0" applyFont="1" applyBorder="1" applyAlignment="1" applyProtection="1">
      <alignment horizontal="center"/>
    </xf>
    <xf numFmtId="0" fontId="15" fillId="0" borderId="32" xfId="0" applyFont="1" applyBorder="1" applyAlignment="1" applyProtection="1">
      <alignment horizontal="center"/>
    </xf>
    <xf numFmtId="0" fontId="9" fillId="2" borderId="0" xfId="0" applyFont="1" applyFill="1" applyAlignment="1" applyProtection="1">
      <alignment horizontal="center"/>
    </xf>
    <xf numFmtId="0" fontId="2" fillId="0" borderId="0" xfId="0" applyFont="1" applyBorder="1" applyAlignment="1" applyProtection="1">
      <alignment horizontal="left" vertical="top" wrapText="1"/>
    </xf>
    <xf numFmtId="171" fontId="3" fillId="0" borderId="10" xfId="0" applyNumberFormat="1" applyFont="1" applyBorder="1" applyAlignment="1" applyProtection="1">
      <alignment horizontal="center" vertical="center" wrapText="1"/>
    </xf>
    <xf numFmtId="165" fontId="3" fillId="0" borderId="10" xfId="0" applyNumberFormat="1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left" vertical="center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164" fontId="3" fillId="0" borderId="7" xfId="0" applyNumberFormat="1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vertical="center" wrapText="1"/>
    </xf>
    <xf numFmtId="0" fontId="3" fillId="0" borderId="10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</xf>
    <xf numFmtId="0" fontId="2" fillId="0" borderId="11" xfId="0" applyFont="1" applyFill="1" applyBorder="1" applyProtection="1"/>
    <xf numFmtId="0" fontId="2" fillId="0" borderId="6" xfId="0" applyFont="1" applyFill="1" applyBorder="1" applyAlignment="1" applyProtection="1">
      <alignment horizontal="center"/>
    </xf>
    <xf numFmtId="169" fontId="3" fillId="0" borderId="2" xfId="0" applyNumberFormat="1" applyFont="1" applyBorder="1" applyAlignment="1" applyProtection="1">
      <alignment horizontal="center" vertical="center"/>
    </xf>
    <xf numFmtId="169" fontId="3" fillId="0" borderId="12" xfId="0" applyNumberFormat="1" applyFont="1" applyBorder="1" applyAlignment="1" applyProtection="1">
      <alignment horizontal="center" vertical="center"/>
    </xf>
    <xf numFmtId="171" fontId="16" fillId="0" borderId="6" xfId="0" applyNumberFormat="1" applyFont="1" applyFill="1" applyBorder="1" applyAlignment="1" applyProtection="1">
      <alignment horizontal="center"/>
    </xf>
    <xf numFmtId="171" fontId="16" fillId="0" borderId="7" xfId="0" applyNumberFormat="1" applyFont="1" applyFill="1" applyBorder="1" applyAlignment="1" applyProtection="1">
      <alignment horizontal="center"/>
    </xf>
  </cellXfs>
  <cellStyles count="1">
    <cellStyle name="Обычный" xfId="0" builtinId="0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382090</xdr:colOff>
      <xdr:row>70</xdr:row>
      <xdr:rowOff>185056</xdr:rowOff>
    </xdr:from>
    <xdr:to>
      <xdr:col>1</xdr:col>
      <xdr:colOff>2457937</xdr:colOff>
      <xdr:row>101</xdr:row>
      <xdr:rowOff>173403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776" y="17787256"/>
          <a:ext cx="2075847" cy="70749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666748</xdr:colOff>
      <xdr:row>41</xdr:row>
      <xdr:rowOff>190503</xdr:rowOff>
    </xdr:from>
    <xdr:to>
      <xdr:col>1</xdr:col>
      <xdr:colOff>1973036</xdr:colOff>
      <xdr:row>54</xdr:row>
      <xdr:rowOff>31011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9" y="7715253"/>
          <a:ext cx="1306288" cy="3095336"/>
        </a:xfrm>
        <a:prstGeom prst="rect">
          <a:avLst/>
        </a:prstGeom>
      </xdr:spPr>
    </xdr:pic>
    <xdr:clientData/>
  </xdr:twoCellAnchor>
  <xdr:twoCellAnchor editAs="oneCell">
    <xdr:from>
      <xdr:col>2</xdr:col>
      <xdr:colOff>2035628</xdr:colOff>
      <xdr:row>70</xdr:row>
      <xdr:rowOff>206829</xdr:rowOff>
    </xdr:from>
    <xdr:to>
      <xdr:col>7</xdr:col>
      <xdr:colOff>424542</xdr:colOff>
      <xdr:row>101</xdr:row>
      <xdr:rowOff>119733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5" y="17787258"/>
          <a:ext cx="4637314" cy="69995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4996544</xdr:colOff>
      <xdr:row>71</xdr:row>
      <xdr:rowOff>1</xdr:rowOff>
    </xdr:from>
    <xdr:to>
      <xdr:col>10</xdr:col>
      <xdr:colOff>1077686</xdr:colOff>
      <xdr:row>100</xdr:row>
      <xdr:rowOff>185437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4201" y="17830801"/>
          <a:ext cx="4169228" cy="681483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74"/>
  <sheetViews>
    <sheetView tabSelected="1" zoomScale="70" zoomScaleNormal="70" workbookViewId="0">
      <selection activeCell="B31" sqref="B31:C31"/>
    </sheetView>
  </sheetViews>
  <sheetFormatPr defaultColWidth="9.109375" defaultRowHeight="18" x14ac:dyDescent="0.35"/>
  <cols>
    <col min="1" max="1" width="4.6640625" style="26" customWidth="1"/>
    <col min="2" max="3" width="43.6640625" style="26" customWidth="1"/>
    <col min="4" max="5" width="14.6640625" style="28" customWidth="1"/>
    <col min="6" max="6" width="14.6640625" style="77" customWidth="1"/>
    <col min="7" max="7" width="3.6640625" style="26" customWidth="1"/>
    <col min="8" max="8" width="79.6640625" style="26" customWidth="1"/>
    <col min="9" max="9" width="20.6640625" style="26" customWidth="1"/>
    <col min="10" max="11" width="17.6640625" style="26" customWidth="1"/>
    <col min="12" max="12" width="10.33203125" style="26" hidden="1" customWidth="1"/>
    <col min="13" max="14" width="9.109375" style="26" hidden="1" customWidth="1"/>
    <col min="15" max="15" width="48.5546875" style="26" hidden="1" customWidth="1"/>
    <col min="16" max="16" width="17.109375" style="26" hidden="1" customWidth="1"/>
    <col min="17" max="21" width="9.109375" style="26" hidden="1" customWidth="1"/>
    <col min="22" max="16384" width="9.109375" style="26"/>
  </cols>
  <sheetData>
    <row r="1" spans="2:18" x14ac:dyDescent="0.35">
      <c r="C1" s="27"/>
    </row>
    <row r="2" spans="2:18" s="23" customFormat="1" ht="27.6" customHeight="1" x14ac:dyDescent="0.3">
      <c r="B2" s="104" t="s">
        <v>15</v>
      </c>
      <c r="C2" s="104"/>
      <c r="D2" s="104"/>
      <c r="E2" s="104"/>
      <c r="F2" s="104"/>
      <c r="G2" s="104"/>
      <c r="H2" s="104"/>
      <c r="I2" s="104"/>
      <c r="J2" s="104"/>
      <c r="K2" s="104"/>
      <c r="O2" s="29" t="s">
        <v>25</v>
      </c>
      <c r="P2" s="23" t="s">
        <v>98</v>
      </c>
    </row>
    <row r="3" spans="2:18" s="29" customFormat="1" ht="26.1" customHeight="1" x14ac:dyDescent="0.3">
      <c r="B3" s="104"/>
      <c r="C3" s="104"/>
      <c r="D3" s="104"/>
      <c r="E3" s="104"/>
      <c r="F3" s="104"/>
      <c r="G3" s="104"/>
      <c r="H3" s="104"/>
      <c r="I3" s="104"/>
      <c r="J3" s="104"/>
      <c r="K3" s="104"/>
      <c r="O3" s="29" t="s">
        <v>83</v>
      </c>
      <c r="P3" s="23" t="s">
        <v>99</v>
      </c>
      <c r="R3" s="29" t="s">
        <v>85</v>
      </c>
    </row>
    <row r="4" spans="2:18" s="29" customFormat="1" ht="20.100000000000001" customHeight="1" x14ac:dyDescent="0.35">
      <c r="C4" s="30"/>
      <c r="D4" s="30"/>
      <c r="E4" s="30"/>
      <c r="F4" s="30"/>
      <c r="H4" s="31"/>
      <c r="I4" s="31"/>
      <c r="J4" s="31"/>
      <c r="K4" s="31"/>
      <c r="R4" s="29" t="s">
        <v>86</v>
      </c>
    </row>
    <row r="5" spans="2:18" s="29" customFormat="1" ht="20.100000000000001" customHeight="1" x14ac:dyDescent="0.3">
      <c r="B5" s="105" t="s">
        <v>10</v>
      </c>
      <c r="C5" s="105"/>
      <c r="D5" s="105"/>
      <c r="E5" s="105"/>
      <c r="F5" s="76"/>
      <c r="H5" s="105" t="s">
        <v>9</v>
      </c>
      <c r="I5" s="105"/>
      <c r="J5" s="105"/>
      <c r="K5" s="105"/>
      <c r="R5" s="29" t="s">
        <v>87</v>
      </c>
    </row>
    <row r="6" spans="2:18" s="23" customFormat="1" ht="20.100000000000001" customHeight="1" thickBot="1" x14ac:dyDescent="0.35">
      <c r="C6" s="32"/>
      <c r="D6" s="32"/>
      <c r="E6" s="32"/>
      <c r="F6" s="32"/>
      <c r="G6" s="29"/>
      <c r="H6" s="32"/>
      <c r="I6" s="32"/>
      <c r="J6" s="32"/>
      <c r="K6" s="32"/>
    </row>
    <row r="7" spans="2:18" s="23" customFormat="1" ht="20.100000000000001" customHeight="1" thickBot="1" x14ac:dyDescent="0.35">
      <c r="B7" s="121" t="s">
        <v>88</v>
      </c>
      <c r="C7" s="122"/>
      <c r="D7" s="123" t="s">
        <v>87</v>
      </c>
      <c r="E7" s="124"/>
      <c r="F7" s="125"/>
      <c r="H7" s="106" t="s">
        <v>6</v>
      </c>
      <c r="I7" s="107"/>
      <c r="J7" s="33" t="s">
        <v>4</v>
      </c>
      <c r="K7" s="1">
        <f>IF(AND(D7=R3,E21=O21),E9-45,IF(AND(D7=R3,E21=O20),E9-39,
IF(AND(D7=R4,E21=O21),E9+6,IF(AND(D7=R4,E21=O20),E9+12,
IF(AND(D7=R5,E21=O21),E9-32,IF(AND(D7=R5,E21=O20),E9-26))))))</f>
        <v>2568</v>
      </c>
    </row>
    <row r="8" spans="2:18" s="23" customFormat="1" ht="20.100000000000001" customHeight="1" thickBot="1" x14ac:dyDescent="0.35">
      <c r="H8" s="108"/>
      <c r="I8" s="109"/>
      <c r="J8" s="34" t="s">
        <v>5</v>
      </c>
      <c r="K8" s="156">
        <f>ROUNDUP(IF(AND(OR(E23=O57,E23=O58),E11=O48,D7&lt;&gt;R4),(E10-20+E13*12)/E12,
IF(AND(OR(E23=O57,E23=O58),E11&lt;&gt;O48,D7&lt;&gt;R4),(E10-10+E13*12)/E12,(E10+E13*12)/E12)),0)</f>
        <v>901</v>
      </c>
    </row>
    <row r="9" spans="2:18" s="23" customFormat="1" ht="20.100000000000001" customHeight="1" x14ac:dyDescent="0.3">
      <c r="B9" s="92" t="s">
        <v>96</v>
      </c>
      <c r="C9" s="138"/>
      <c r="D9" s="138"/>
      <c r="E9" s="126">
        <v>2600</v>
      </c>
      <c r="F9" s="127"/>
      <c r="H9" s="35"/>
      <c r="I9" s="35"/>
      <c r="J9" s="36"/>
      <c r="K9" s="18"/>
      <c r="L9" s="157"/>
    </row>
    <row r="10" spans="2:18" s="23" customFormat="1" ht="20.100000000000001" customHeight="1" thickBot="1" x14ac:dyDescent="0.35">
      <c r="B10" s="139" t="s">
        <v>14</v>
      </c>
      <c r="C10" s="140"/>
      <c r="D10" s="140"/>
      <c r="E10" s="128">
        <v>1800</v>
      </c>
      <c r="F10" s="129"/>
      <c r="H10" s="35"/>
      <c r="I10" s="35"/>
      <c r="J10" s="36"/>
      <c r="K10" s="3"/>
      <c r="O10" s="23" t="s">
        <v>62</v>
      </c>
    </row>
    <row r="11" spans="2:18" s="23" customFormat="1" ht="20.100000000000001" customHeight="1" x14ac:dyDescent="0.35">
      <c r="B11" s="139" t="s">
        <v>68</v>
      </c>
      <c r="C11" s="140"/>
      <c r="D11" s="140"/>
      <c r="E11" s="128" t="s">
        <v>63</v>
      </c>
      <c r="F11" s="129"/>
      <c r="H11" s="110" t="s">
        <v>69</v>
      </c>
      <c r="I11" s="111"/>
      <c r="J11" s="37" t="s">
        <v>11</v>
      </c>
      <c r="K11" s="1">
        <f>ROUNDDOWN(K7-1.6*E16-26*E17-3.5*2-26*E18,0)</f>
        <v>2561</v>
      </c>
      <c r="L11" s="68"/>
      <c r="O11" s="23" t="s">
        <v>22</v>
      </c>
    </row>
    <row r="12" spans="2:18" s="23" customFormat="1" ht="20.100000000000001" customHeight="1" thickBot="1" x14ac:dyDescent="0.35">
      <c r="B12" s="139" t="s">
        <v>0</v>
      </c>
      <c r="C12" s="140"/>
      <c r="D12" s="140"/>
      <c r="E12" s="130">
        <f>IF(E11=O45,2,IF(E11=O46,3,IF(E11=O47,4,IF(E11=O48,4,IF(E11=O49,5)))))</f>
        <v>2</v>
      </c>
      <c r="F12" s="131"/>
      <c r="H12" s="112"/>
      <c r="I12" s="113"/>
      <c r="J12" s="34" t="s">
        <v>5</v>
      </c>
      <c r="K12" s="2">
        <f>K8-4</f>
        <v>897</v>
      </c>
    </row>
    <row r="13" spans="2:18" s="23" customFormat="1" ht="20.100000000000001" customHeight="1" thickBot="1" x14ac:dyDescent="0.35">
      <c r="B13" s="85" t="s">
        <v>80</v>
      </c>
      <c r="C13" s="86"/>
      <c r="D13" s="86"/>
      <c r="E13" s="130">
        <f>IF(E11=O45,1,IF(E11=O46,2,IF(E11=O47,3,IF(E11=O48,2,IF(E11=O49,4)))))</f>
        <v>1</v>
      </c>
      <c r="F13" s="131"/>
      <c r="H13" s="35"/>
      <c r="I13" s="35"/>
      <c r="J13" s="38"/>
      <c r="K13" s="39"/>
    </row>
    <row r="14" spans="2:18" s="23" customFormat="1" ht="20.100000000000001" customHeight="1" x14ac:dyDescent="0.3">
      <c r="B14" s="139" t="s">
        <v>89</v>
      </c>
      <c r="C14" s="140"/>
      <c r="D14" s="140"/>
      <c r="E14" s="102">
        <v>0</v>
      </c>
      <c r="F14" s="103"/>
      <c r="H14" s="40" t="s">
        <v>1</v>
      </c>
      <c r="I14" s="41" t="s">
        <v>23</v>
      </c>
      <c r="J14" s="33" t="s">
        <v>2</v>
      </c>
      <c r="K14" s="42" t="s">
        <v>3</v>
      </c>
    </row>
    <row r="15" spans="2:18" s="23" customFormat="1" ht="20.100000000000001" customHeight="1" x14ac:dyDescent="0.35">
      <c r="B15" s="139" t="s">
        <v>90</v>
      </c>
      <c r="C15" s="140"/>
      <c r="D15" s="140"/>
      <c r="E15" s="102">
        <v>0</v>
      </c>
      <c r="F15" s="103"/>
      <c r="H15" s="43" t="s">
        <v>24</v>
      </c>
      <c r="I15" s="44" t="s">
        <v>100</v>
      </c>
      <c r="J15" s="9">
        <f>IF(D7=R4,E10-2-32,E10-2)</f>
        <v>1798</v>
      </c>
      <c r="K15" s="4">
        <v>1</v>
      </c>
      <c r="M15" s="45"/>
      <c r="O15" s="23" t="s">
        <v>46</v>
      </c>
    </row>
    <row r="16" spans="2:18" s="23" customFormat="1" ht="20.100000000000001" customHeight="1" x14ac:dyDescent="0.35">
      <c r="B16" s="141" t="s">
        <v>18</v>
      </c>
      <c r="C16" s="142"/>
      <c r="D16" s="142"/>
      <c r="E16" s="102">
        <v>0</v>
      </c>
      <c r="F16" s="103"/>
      <c r="H16" s="43" t="str">
        <f>IF(E21=O21,O2,O3)</f>
        <v xml:space="preserve">Направляющая нижняя </v>
      </c>
      <c r="I16" s="44" t="str">
        <f>IF(E21=O21,P2,P3)</f>
        <v>AS0504.VP540</v>
      </c>
      <c r="J16" s="9">
        <f>E10-2</f>
        <v>1798</v>
      </c>
      <c r="K16" s="4">
        <f>IF(E21=O21,1,2)</f>
        <v>1</v>
      </c>
      <c r="M16" s="45"/>
      <c r="O16" s="23" t="s">
        <v>47</v>
      </c>
    </row>
    <row r="17" spans="2:15" s="23" customFormat="1" ht="20.100000000000001" customHeight="1" x14ac:dyDescent="0.35">
      <c r="B17" s="141" t="s">
        <v>19</v>
      </c>
      <c r="C17" s="142"/>
      <c r="D17" s="142"/>
      <c r="E17" s="102">
        <v>0</v>
      </c>
      <c r="F17" s="103"/>
      <c r="H17" s="20" t="s">
        <v>26</v>
      </c>
      <c r="I17" s="44" t="s">
        <v>101</v>
      </c>
      <c r="J17" s="5">
        <f>K7</f>
        <v>2568</v>
      </c>
      <c r="K17" s="6">
        <f>E12*2</f>
        <v>4</v>
      </c>
      <c r="L17" s="23">
        <v>0.29799999999999999</v>
      </c>
      <c r="M17" s="45">
        <f t="shared" ref="M17:M34" si="0">J17*L17*K17/1000</f>
        <v>3.0610560000000002</v>
      </c>
    </row>
    <row r="18" spans="2:15" s="23" customFormat="1" ht="20.100000000000001" customHeight="1" x14ac:dyDescent="0.35">
      <c r="B18" s="141" t="s">
        <v>20</v>
      </c>
      <c r="C18" s="142"/>
      <c r="D18" s="142"/>
      <c r="E18" s="102">
        <v>0</v>
      </c>
      <c r="F18" s="103"/>
      <c r="H18" s="20" t="s">
        <v>27</v>
      </c>
      <c r="I18" s="44" t="s">
        <v>102</v>
      </c>
      <c r="J18" s="5">
        <f>K8-2*5</f>
        <v>891</v>
      </c>
      <c r="K18" s="6">
        <f>(E16+2)*E12</f>
        <v>4</v>
      </c>
      <c r="L18" s="23">
        <v>6.8000000000000005E-2</v>
      </c>
      <c r="M18" s="45">
        <f t="shared" si="0"/>
        <v>0.24235200000000001</v>
      </c>
    </row>
    <row r="19" spans="2:15" s="23" customFormat="1" ht="20.100000000000001" customHeight="1" x14ac:dyDescent="0.35">
      <c r="B19" s="141" t="s">
        <v>17</v>
      </c>
      <c r="C19" s="142"/>
      <c r="D19" s="142"/>
      <c r="E19" s="102">
        <v>0</v>
      </c>
      <c r="F19" s="103"/>
      <c r="H19" s="20" t="s">
        <v>28</v>
      </c>
      <c r="I19" s="46" t="s">
        <v>103</v>
      </c>
      <c r="J19" s="5">
        <f>IF(K19&lt;&gt;0,J18,0)</f>
        <v>0</v>
      </c>
      <c r="K19" s="6">
        <f>E17*E12-IF(E17&gt;0,IF(F20&gt;0,E12,IF(E19&gt;0,E12,0)),0)</f>
        <v>0</v>
      </c>
      <c r="L19" s="23">
        <v>0.30499999999999999</v>
      </c>
      <c r="M19" s="45">
        <f t="shared" si="0"/>
        <v>0</v>
      </c>
    </row>
    <row r="20" spans="2:15" s="23" customFormat="1" ht="20.100000000000001" customHeight="1" x14ac:dyDescent="0.35">
      <c r="B20" s="139" t="s">
        <v>21</v>
      </c>
      <c r="C20" s="140"/>
      <c r="D20" s="140"/>
      <c r="E20" s="84">
        <v>140</v>
      </c>
      <c r="F20" s="83">
        <v>0</v>
      </c>
      <c r="H20" s="20" t="s">
        <v>29</v>
      </c>
      <c r="I20" s="46" t="s">
        <v>103</v>
      </c>
      <c r="J20" s="5">
        <f>IF(K20&lt;&gt;0,J18-E20*F20-200*E19,0)</f>
        <v>0</v>
      </c>
      <c r="K20" s="6">
        <f>IF(E17&gt;0,IF(F20&gt;0,E12,IF(E19&gt;0,E12,0)),0)</f>
        <v>0</v>
      </c>
      <c r="L20" s="23">
        <v>0.30499999999999999</v>
      </c>
      <c r="M20" s="45">
        <f t="shared" si="0"/>
        <v>0</v>
      </c>
      <c r="O20" s="23" t="s">
        <v>70</v>
      </c>
    </row>
    <row r="21" spans="2:15" s="23" customFormat="1" ht="20.100000000000001" customHeight="1" x14ac:dyDescent="0.35">
      <c r="B21" s="85" t="s">
        <v>82</v>
      </c>
      <c r="C21" s="86"/>
      <c r="D21" s="86"/>
      <c r="E21" s="132" t="s">
        <v>71</v>
      </c>
      <c r="F21" s="133"/>
      <c r="H21" s="20" t="s">
        <v>30</v>
      </c>
      <c r="I21" s="46" t="s">
        <v>104</v>
      </c>
      <c r="J21" s="7">
        <f>IF(OR(E25=O21,AND(E25=O20,OR(C37=O16,C41=O16))),K7-20,0)</f>
        <v>2548</v>
      </c>
      <c r="K21" s="8">
        <f>IF(J21&lt;&gt;0,IF(K8&lt;1000,E12*2,E12*3),0)</f>
        <v>4</v>
      </c>
      <c r="L21" s="23">
        <v>0.41299999999999998</v>
      </c>
      <c r="M21" s="45">
        <f t="shared" si="0"/>
        <v>4.2092959999999993</v>
      </c>
      <c r="O21" s="23" t="s">
        <v>71</v>
      </c>
    </row>
    <row r="22" spans="2:15" s="23" customFormat="1" ht="20.100000000000001" customHeight="1" x14ac:dyDescent="0.35">
      <c r="B22" s="85" t="s">
        <v>8</v>
      </c>
      <c r="C22" s="86"/>
      <c r="D22" s="86"/>
      <c r="E22" s="132" t="s">
        <v>71</v>
      </c>
      <c r="F22" s="133"/>
      <c r="H22" s="20" t="s">
        <v>31</v>
      </c>
      <c r="I22" s="48" t="s">
        <v>105</v>
      </c>
      <c r="J22" s="7">
        <f>IF(E18&lt;&gt;0,J18,0)</f>
        <v>0</v>
      </c>
      <c r="K22" s="8">
        <f>E18*E12</f>
        <v>0</v>
      </c>
      <c r="L22" s="23">
        <v>0.29499999999999998</v>
      </c>
      <c r="M22" s="45">
        <f t="shared" si="0"/>
        <v>0</v>
      </c>
    </row>
    <row r="23" spans="2:15" s="23" customFormat="1" ht="20.100000000000001" customHeight="1" x14ac:dyDescent="0.35">
      <c r="B23" s="85" t="s">
        <v>97</v>
      </c>
      <c r="C23" s="86"/>
      <c r="D23" s="86"/>
      <c r="E23" s="134" t="s">
        <v>75</v>
      </c>
      <c r="F23" s="135"/>
      <c r="H23" s="47" t="s">
        <v>32</v>
      </c>
      <c r="I23" s="44" t="s">
        <v>105</v>
      </c>
      <c r="J23" s="5">
        <f>IF(F20&lt;&gt;0,E20,0)</f>
        <v>0</v>
      </c>
      <c r="K23" s="8">
        <f>F20*E12</f>
        <v>0</v>
      </c>
      <c r="L23" s="23">
        <v>0.29499999999999998</v>
      </c>
      <c r="M23" s="45">
        <f t="shared" si="0"/>
        <v>0</v>
      </c>
    </row>
    <row r="24" spans="2:15" s="23" customFormat="1" ht="20.100000000000001" customHeight="1" x14ac:dyDescent="0.35">
      <c r="B24" s="85" t="s">
        <v>79</v>
      </c>
      <c r="C24" s="86"/>
      <c r="D24" s="86"/>
      <c r="E24" s="132" t="s">
        <v>71</v>
      </c>
      <c r="F24" s="133"/>
      <c r="H24" s="47" t="s">
        <v>33</v>
      </c>
      <c r="I24" s="44" t="s">
        <v>106</v>
      </c>
      <c r="J24" s="5">
        <f>IF(OR(F20&lt;&gt;0,E18&lt;&gt;0),23,0)</f>
        <v>0</v>
      </c>
      <c r="K24" s="8">
        <f>(F20+E18)*2*E12</f>
        <v>0</v>
      </c>
      <c r="L24" s="23">
        <v>9.799999999999999E-2</v>
      </c>
      <c r="M24" s="45">
        <f t="shared" si="0"/>
        <v>0</v>
      </c>
    </row>
    <row r="25" spans="2:15" s="23" customFormat="1" ht="20.100000000000001" customHeight="1" thickBot="1" x14ac:dyDescent="0.4">
      <c r="B25" s="154" t="s">
        <v>138</v>
      </c>
      <c r="C25" s="155"/>
      <c r="D25" s="155"/>
      <c r="E25" s="136" t="s">
        <v>71</v>
      </c>
      <c r="F25" s="137"/>
      <c r="H25" s="67" t="s">
        <v>62</v>
      </c>
      <c r="I25" s="44" t="s">
        <v>107</v>
      </c>
      <c r="J25" s="12">
        <f>IF(AND(B31=O10,OR(E16&lt;&gt;0,E17&lt;&gt;0,E18&lt;&gt;0)),150,0)</f>
        <v>0</v>
      </c>
      <c r="K25" s="10">
        <f>IF(B31=O10,(E17+E16+E18)*E12*2,0)</f>
        <v>0</v>
      </c>
      <c r="L25" s="23">
        <v>0.23499999999999996</v>
      </c>
      <c r="M25" s="45">
        <f t="shared" si="0"/>
        <v>0</v>
      </c>
    </row>
    <row r="26" spans="2:15" s="23" customFormat="1" ht="20.100000000000001" customHeight="1" x14ac:dyDescent="0.35">
      <c r="B26" s="23" t="s">
        <v>91</v>
      </c>
      <c r="H26" s="49" t="s">
        <v>62</v>
      </c>
      <c r="I26" s="48" t="s">
        <v>107</v>
      </c>
      <c r="J26" s="5">
        <f>IF(AND(B31=O10,OR(E16&lt;&gt;0,E17&lt;&gt;0,E18&lt;&gt;0),K8&lt;1000),K8-45-300-80,0)</f>
        <v>0</v>
      </c>
      <c r="K26" s="13">
        <f>IF(AND(K8&lt;1000,B31=O10),(E17+E16+E18)*E12,0)</f>
        <v>0</v>
      </c>
      <c r="L26" s="23">
        <v>0.23499999999999996</v>
      </c>
      <c r="M26" s="45">
        <f t="shared" si="0"/>
        <v>0</v>
      </c>
    </row>
    <row r="27" spans="2:15" s="23" customFormat="1" ht="20.100000000000001" customHeight="1" x14ac:dyDescent="0.35">
      <c r="B27" s="23" t="s">
        <v>95</v>
      </c>
      <c r="H27" s="49" t="s">
        <v>62</v>
      </c>
      <c r="I27" s="48" t="s">
        <v>107</v>
      </c>
      <c r="J27" s="5">
        <f>IF(AND(B31=O10,OR(E16&lt;&gt;0,E17&lt;&gt;0,E18&lt;&gt;0),K8&gt;=1000),(K8-45-300-120)/2,0)</f>
        <v>0</v>
      </c>
      <c r="K27" s="13">
        <f>IF(AND(K8&gt;=1000,B31=O10),(E17+E16+E18)*E12*2,0)</f>
        <v>0</v>
      </c>
      <c r="L27" s="23">
        <v>0.23499999999999996</v>
      </c>
      <c r="M27" s="45">
        <f t="shared" si="0"/>
        <v>0</v>
      </c>
    </row>
    <row r="28" spans="2:15" s="23" customFormat="1" ht="20.100000000000001" customHeight="1" x14ac:dyDescent="0.35">
      <c r="B28" s="23" t="s">
        <v>144</v>
      </c>
      <c r="H28" s="49" t="s">
        <v>48</v>
      </c>
      <c r="I28" s="48" t="s">
        <v>108</v>
      </c>
      <c r="J28" s="12">
        <f>IF(AND(D7=R3,OR(C41=O16,AND(C37=O16,D41=0))),K12-2-75,
IF(AND(D7&lt;&gt;R3,OR(AND(C41=O16,D41&lt;&gt;0),C37=O16)),K12-2-75,0))</f>
        <v>820</v>
      </c>
      <c r="K28" s="158">
        <f>IF(J28=0,0,IF(AND(D7=R3,C41=O16,D41&lt;&gt;0),1*E12,IF(AND(D7=R3,C37=O16),1*E12,
IF(OR(AND(C37=O16,D41=0),AND(C41=O16,D41&lt;&gt;0,C37=O16,D37&lt;&gt;0)),2*E12,IF(OR(C37=O16,AND(C41=O16,D41&lt;&gt;0)),1*E12,0)))))</f>
        <v>4</v>
      </c>
      <c r="L28" s="23">
        <v>0.60799999999999998</v>
      </c>
      <c r="M28" s="45">
        <f t="shared" si="0"/>
        <v>1.99424</v>
      </c>
    </row>
    <row r="29" spans="2:15" s="23" customFormat="1" ht="20.100000000000001" customHeight="1" thickBot="1" x14ac:dyDescent="0.4">
      <c r="H29" s="49" t="s">
        <v>49</v>
      </c>
      <c r="I29" s="48" t="s">
        <v>109</v>
      </c>
      <c r="J29" s="12">
        <f>IF(OR(AND(C37=O16,D37&lt;&gt;0),AND(C38=O16,D38&lt;&gt;0),AND(C39=O16,D39&lt;&gt;0),AND(C40=O16,D40&lt;&gt;0),AND(C41=O16,D41&lt;&gt;0)),K12-2-75,0)</f>
        <v>820</v>
      </c>
      <c r="K29" s="13">
        <f>IF(J29&lt;&gt;0,(IF(AND(D41=0,C37=O16,D7=R3),1,IF(AND(D41&lt;&gt;0,C37=O16,D7=R3),2,0))+IF(AND(D41&lt;&gt;0,C37=O16,D7&lt;&gt;R3),1,0)
+IF(AND(C37=O16,D37&gt;=1000,D37&lt;1500),1,0)+IF(AND(C37=O16,D37&gt;=1500,D37&lt;2000),2,0)+IF(AND(C37=O16,D37&gt;=2000),3,0)+IF(AND(D38&lt;&gt;0,C38=O16),2,0)+IF(AND(C38=O16,D38&gt;=1000,D38&lt;1500),1,0)+IF(AND(C38=O16,D38&gt;=1500,D38&lt;2000),2,0)+IF(AND(C38=O16,D38&gt;=2000),3,0)+IF(AND(D39&lt;&gt;0,C39=O16),2,0)+IF(AND(C39=O16,D39&gt;=1000,D39&lt;1500),1,0)+IF(AND(C39=O16,D39&gt;=1500,D39&lt;2000),2,0)+IF(AND(C39=O16,D39&gt;=2000),3,0)+IF(AND(D40&lt;&gt;0,C40=O16),2,0)+IF(AND(C40=O16,D40&gt;=1000,D40&lt;1500),1,0)+IF(AND(C40=O16,D40&gt;=1500,D40&lt;2000),2,0)+IF(AND(C40=O16,D40&gt;=2000),3,0)+IF(AND(D41&lt;&gt;0,C41=O16),1,0)+IF(AND(C41=O16,D41&gt;=1000,D41&lt;1500),1,0)+IF(AND(C41=O16,D41&gt;=1500,D41&lt;2000),2,0)+IF(AND(C41=O16,D41&gt;=2000),3,0))*E12,0)</f>
        <v>6</v>
      </c>
      <c r="L29" s="23">
        <v>0.30499999999999999</v>
      </c>
      <c r="M29" s="45">
        <f t="shared" si="0"/>
        <v>1.5005999999999999</v>
      </c>
    </row>
    <row r="30" spans="2:15" s="23" customFormat="1" ht="20.100000000000001" customHeight="1" x14ac:dyDescent="0.35">
      <c r="B30" s="92" t="s">
        <v>34</v>
      </c>
      <c r="C30" s="93"/>
      <c r="H30" s="49" t="s">
        <v>50</v>
      </c>
      <c r="I30" s="48" t="s">
        <v>109</v>
      </c>
      <c r="J30" s="12">
        <f>IF(C37=$O$16,D37,0)</f>
        <v>2561</v>
      </c>
      <c r="K30" s="13">
        <f>IF(J30&lt;&gt;0,IF(C37=$O$16,2,0)*E12,0)</f>
        <v>4</v>
      </c>
      <c r="L30" s="23">
        <v>0.30499999999999999</v>
      </c>
      <c r="M30" s="45">
        <f t="shared" si="0"/>
        <v>3.1244200000000002</v>
      </c>
    </row>
    <row r="31" spans="2:15" s="23" customFormat="1" ht="20.100000000000001" customHeight="1" thickBot="1" x14ac:dyDescent="0.4">
      <c r="B31" s="94" t="s">
        <v>22</v>
      </c>
      <c r="C31" s="95"/>
      <c r="D31" s="70"/>
      <c r="E31" s="70"/>
      <c r="F31" s="70"/>
      <c r="H31" s="49" t="s">
        <v>51</v>
      </c>
      <c r="I31" s="48" t="s">
        <v>109</v>
      </c>
      <c r="J31" s="12">
        <f>IF(C38=$O$16,D38,0)</f>
        <v>0</v>
      </c>
      <c r="K31" s="13">
        <f>IF(J31&lt;&gt;0,IF(C38=$O$16,2,0)*E12,0)</f>
        <v>0</v>
      </c>
      <c r="L31" s="23">
        <v>0.30499999999999999</v>
      </c>
      <c r="M31" s="45">
        <f t="shared" si="0"/>
        <v>0</v>
      </c>
    </row>
    <row r="32" spans="2:15" s="23" customFormat="1" ht="20.100000000000001" customHeight="1" x14ac:dyDescent="0.35">
      <c r="B32" s="70" t="s">
        <v>12</v>
      </c>
      <c r="H32" s="49" t="s">
        <v>52</v>
      </c>
      <c r="I32" s="48" t="s">
        <v>109</v>
      </c>
      <c r="J32" s="12">
        <f>IF(C39=$O$16,D39,0)</f>
        <v>0</v>
      </c>
      <c r="K32" s="13">
        <f>IF(J32&lt;&gt;0,IF(C39=$O$16,2,0)*E12,0)</f>
        <v>0</v>
      </c>
      <c r="L32" s="23">
        <v>0.30499999999999999</v>
      </c>
      <c r="M32" s="45">
        <f t="shared" si="0"/>
        <v>0</v>
      </c>
    </row>
    <row r="33" spans="2:15" s="23" customFormat="1" ht="20.100000000000001" customHeight="1" thickBot="1" x14ac:dyDescent="0.4">
      <c r="F33" s="75"/>
      <c r="H33" s="49" t="s">
        <v>53</v>
      </c>
      <c r="I33" s="48" t="s">
        <v>109</v>
      </c>
      <c r="J33" s="12">
        <f>IF(C40=$O$16,D40,0)</f>
        <v>0</v>
      </c>
      <c r="K33" s="13">
        <f>IF(J33&lt;&gt;0,IF(C40=$O$16,2,0)*E12,0)</f>
        <v>0</v>
      </c>
      <c r="L33" s="23">
        <v>0.30499999999999999</v>
      </c>
      <c r="M33" s="45">
        <f t="shared" si="0"/>
        <v>0</v>
      </c>
      <c r="O33" s="23" t="s">
        <v>58</v>
      </c>
    </row>
    <row r="34" spans="2:15" s="23" customFormat="1" ht="20.100000000000001" customHeight="1" thickBot="1" x14ac:dyDescent="0.4">
      <c r="B34" s="50" t="s">
        <v>55</v>
      </c>
      <c r="C34" s="51">
        <f>E16+E17+E18+1</f>
        <v>1</v>
      </c>
      <c r="D34" s="119" t="str">
        <f>IF(C34&gt;5,O37,O38)</f>
        <v xml:space="preserve"> </v>
      </c>
      <c r="E34" s="120"/>
      <c r="H34" s="49" t="s">
        <v>54</v>
      </c>
      <c r="I34" s="48" t="s">
        <v>109</v>
      </c>
      <c r="J34" s="12">
        <f>IF(C41=$O$16,D41,0)</f>
        <v>0</v>
      </c>
      <c r="K34" s="13">
        <f>IF(J34&lt;&gt;0,IF(C41=$O$16,2,0)*E12,0)</f>
        <v>0</v>
      </c>
      <c r="L34" s="23">
        <v>0.30499999999999999</v>
      </c>
      <c r="M34" s="45">
        <f t="shared" si="0"/>
        <v>0</v>
      </c>
      <c r="O34" s="23" t="s">
        <v>59</v>
      </c>
    </row>
    <row r="35" spans="2:15" s="23" customFormat="1" ht="20.100000000000001" customHeight="1" thickBot="1" x14ac:dyDescent="0.35">
      <c r="H35" s="71"/>
      <c r="I35" s="69"/>
      <c r="J35" s="18"/>
      <c r="K35" s="72"/>
      <c r="M35" s="57">
        <f>SUM(M17:M34)/E12</f>
        <v>7.065982</v>
      </c>
    </row>
    <row r="36" spans="2:15" s="23" customFormat="1" ht="20.100000000000001" customHeight="1" x14ac:dyDescent="0.35">
      <c r="B36" s="52" t="s">
        <v>39</v>
      </c>
      <c r="C36" s="53" t="s">
        <v>43</v>
      </c>
      <c r="D36" s="53" t="s">
        <v>44</v>
      </c>
      <c r="E36" s="54" t="s">
        <v>45</v>
      </c>
      <c r="F36" s="75"/>
      <c r="G36" s="26"/>
      <c r="H36" s="58" t="s">
        <v>7</v>
      </c>
      <c r="I36" s="73" t="s">
        <v>23</v>
      </c>
      <c r="J36" s="114" t="s">
        <v>3</v>
      </c>
      <c r="K36" s="115"/>
    </row>
    <row r="37" spans="2:15" s="23" customFormat="1" ht="20.100000000000001" customHeight="1" x14ac:dyDescent="0.3">
      <c r="B37" s="20" t="s">
        <v>56</v>
      </c>
      <c r="C37" s="11" t="s">
        <v>47</v>
      </c>
      <c r="D37" s="15">
        <f>K11-SUM(D38:D41)</f>
        <v>2561</v>
      </c>
      <c r="E37" s="55">
        <f>IF(C37=$O$16,$K$12-2,$K$12)</f>
        <v>895</v>
      </c>
      <c r="F37" s="78"/>
      <c r="G37" s="56">
        <f>IF(D37&lt;&gt;0,1,0)</f>
        <v>1</v>
      </c>
      <c r="H37" s="20" t="s">
        <v>110</v>
      </c>
      <c r="I37" s="48" t="s">
        <v>112</v>
      </c>
      <c r="J37" s="116">
        <f>IF(K8&gt;=1000,E12*1.5,E12)</f>
        <v>2</v>
      </c>
      <c r="K37" s="118"/>
      <c r="M37" s="23">
        <f>IF(C37=$O$15,D37*E37/1000000*13,IF(C37=$O$16,D37*E37/1000000*11))</f>
        <v>25.213045000000001</v>
      </c>
      <c r="O37" s="23" t="s">
        <v>60</v>
      </c>
    </row>
    <row r="38" spans="2:15" s="23" customFormat="1" ht="20.100000000000001" customHeight="1" x14ac:dyDescent="0.3">
      <c r="B38" s="20" t="s">
        <v>40</v>
      </c>
      <c r="C38" s="11" t="s">
        <v>47</v>
      </c>
      <c r="D38" s="14">
        <v>0</v>
      </c>
      <c r="E38" s="55">
        <f>IF(C38=$O$16,$K$12-2,$K$12)</f>
        <v>895</v>
      </c>
      <c r="F38" s="78"/>
      <c r="G38" s="56">
        <f>IF(D38&lt;&gt;0,1,0)</f>
        <v>0</v>
      </c>
      <c r="H38" s="49" t="s">
        <v>111</v>
      </c>
      <c r="I38" s="159" t="s">
        <v>113</v>
      </c>
      <c r="J38" s="162">
        <f>(E12*2-SUM(E14:F15))/2</f>
        <v>2</v>
      </c>
      <c r="K38" s="163"/>
      <c r="M38" s="23">
        <f>IF(C38=$O$15,D38*E38/1000000*13,IF(C38=$O$16,D38*E38/1000000*11))</f>
        <v>0</v>
      </c>
      <c r="O38" s="23" t="s">
        <v>13</v>
      </c>
    </row>
    <row r="39" spans="2:15" s="23" customFormat="1" ht="20.100000000000001" customHeight="1" x14ac:dyDescent="0.3">
      <c r="B39" s="20" t="s">
        <v>41</v>
      </c>
      <c r="C39" s="11" t="s">
        <v>47</v>
      </c>
      <c r="D39" s="14">
        <v>0</v>
      </c>
      <c r="E39" s="55">
        <f>IF(C39=$O$16,$K$12-2,$K$12)</f>
        <v>895</v>
      </c>
      <c r="F39" s="78"/>
      <c r="G39" s="56">
        <f>IF(D39&lt;&gt;0,1,0)</f>
        <v>0</v>
      </c>
      <c r="H39" s="20" t="s">
        <v>115</v>
      </c>
      <c r="I39" s="46" t="s">
        <v>114</v>
      </c>
      <c r="J39" s="116">
        <f>ROUNDUP(IF(D7&lt;&gt;R3,IF(E11=O45,2+E14,IF(OR(E11=O46,E11=O47,E11=O48),4+E14,IF(E11=O49,6+E14,0))))/2,0)</f>
        <v>1</v>
      </c>
      <c r="K39" s="118"/>
      <c r="M39" s="23">
        <f>IF(C39=$O$15,D39*E39/1000000*13,IF(C39=$O$16,D39*E39/1000000*11))</f>
        <v>0</v>
      </c>
      <c r="O39" s="23" t="s">
        <v>61</v>
      </c>
    </row>
    <row r="40" spans="2:15" s="23" customFormat="1" ht="20.100000000000001" customHeight="1" x14ac:dyDescent="0.3">
      <c r="B40" s="20" t="s">
        <v>42</v>
      </c>
      <c r="C40" s="11" t="s">
        <v>47</v>
      </c>
      <c r="D40" s="14">
        <v>0</v>
      </c>
      <c r="E40" s="55">
        <f>IF(C40=$O$16,$K$12-2,$K$12)</f>
        <v>895</v>
      </c>
      <c r="F40" s="78"/>
      <c r="G40" s="56">
        <f>IF(D40&lt;&gt;0,1,0)</f>
        <v>0</v>
      </c>
      <c r="H40" s="20" t="s">
        <v>117</v>
      </c>
      <c r="I40" s="46" t="s">
        <v>116</v>
      </c>
      <c r="J40" s="116">
        <f>ROUNDUP(IF(D7&lt;&gt;R3,IF(OR(E11=O45,E11=O46),2+E15,IF(OR(E11=O47,E11=O48,E11=O49),4+E15,0)))/2,0)</f>
        <v>1</v>
      </c>
      <c r="K40" s="118"/>
      <c r="M40" s="23">
        <f>IF(C40=$O$15,D40*E40/1000000*13,IF(C40=$O$16,D40*E40/1000000*11))</f>
        <v>0</v>
      </c>
      <c r="O40" s="23" t="s">
        <v>13</v>
      </c>
    </row>
    <row r="41" spans="2:15" ht="20.100000000000001" customHeight="1" thickBot="1" x14ac:dyDescent="0.4">
      <c r="B41" s="59" t="s">
        <v>57</v>
      </c>
      <c r="C41" s="16" t="s">
        <v>47</v>
      </c>
      <c r="D41" s="17">
        <v>0</v>
      </c>
      <c r="E41" s="60">
        <f>IF(C41=$O$16,$K$12-2,$K$12)</f>
        <v>895</v>
      </c>
      <c r="F41" s="78"/>
      <c r="G41" s="56">
        <f>IF(D41&lt;&gt;0,1,0)</f>
        <v>0</v>
      </c>
      <c r="H41" s="20" t="s">
        <v>118</v>
      </c>
      <c r="I41" s="21" t="s">
        <v>119</v>
      </c>
      <c r="J41" s="116">
        <f>IF(M45&lt;30,ROUNDUP(SUM(E14:F15)/2,0),0)</f>
        <v>0</v>
      </c>
      <c r="K41" s="117"/>
      <c r="L41" s="66"/>
      <c r="M41" s="23">
        <f>IF(C41=$O$15,D41*E41/1000000*13,IF(C41=$O$16,D41*E41/1000000*11))</f>
        <v>0</v>
      </c>
    </row>
    <row r="42" spans="2:15" ht="20.100000000000001" customHeight="1" thickBot="1" x14ac:dyDescent="0.4">
      <c r="B42" s="23"/>
      <c r="C42" s="23"/>
      <c r="D42" s="23"/>
      <c r="E42" s="23"/>
      <c r="F42" s="23"/>
      <c r="G42" s="23"/>
      <c r="H42" s="20" t="s">
        <v>118</v>
      </c>
      <c r="I42" s="21" t="s">
        <v>120</v>
      </c>
      <c r="J42" s="116">
        <f>IF(AND(M45&gt;=30,M45&lt;50),ROUNDUP(SUM(E14:F15)/2,0),0)</f>
        <v>0</v>
      </c>
      <c r="K42" s="117"/>
      <c r="M42" s="61">
        <f>SUM(M37:M41)</f>
        <v>25.213045000000001</v>
      </c>
    </row>
    <row r="43" spans="2:15" ht="21" customHeight="1" x14ac:dyDescent="0.35">
      <c r="B43" s="23"/>
      <c r="C43" s="22" t="str">
        <f>IF((SUM(G37:G41)/C34)&lt;&gt;1,O33,O34)</f>
        <v>Верно внесены высоты вставок</v>
      </c>
      <c r="D43" s="28">
        <f>IF(C43=O34,1,0)</f>
        <v>1</v>
      </c>
      <c r="E43" s="23"/>
      <c r="F43" s="23"/>
      <c r="G43" s="23"/>
      <c r="H43" s="20" t="s">
        <v>118</v>
      </c>
      <c r="I43" s="21" t="s">
        <v>121</v>
      </c>
      <c r="J43" s="116">
        <f>IF(AND(M42&gt;=50,M42&lt;70),ROUNDUP(SUM(E14:F15)/2,0),0)</f>
        <v>0</v>
      </c>
      <c r="K43" s="117"/>
    </row>
    <row r="44" spans="2:15" ht="21" customHeight="1" thickBot="1" x14ac:dyDescent="0.4">
      <c r="B44" s="23"/>
      <c r="C44" s="23"/>
      <c r="D44" s="23"/>
      <c r="E44" s="23"/>
      <c r="F44" s="23"/>
      <c r="G44" s="23"/>
      <c r="H44" s="20" t="s">
        <v>122</v>
      </c>
      <c r="I44" s="48" t="s">
        <v>123</v>
      </c>
      <c r="J44" s="89">
        <f>E19*E12</f>
        <v>0</v>
      </c>
      <c r="K44" s="151"/>
    </row>
    <row r="45" spans="2:15" ht="21" customHeight="1" thickBot="1" x14ac:dyDescent="0.4">
      <c r="B45" s="23"/>
      <c r="C45" s="153" t="str">
        <f>IF(OR(AND(C37=O16,D37&lt;130,D37&lt;&gt;0),AND(C38=O16,D38&lt;130,D38&lt;&gt;0),AND(C39=O16,D39&lt;130,D39&lt;&gt;0),AND(C40=O16,D40&lt;130,D40&lt;&gt;0),AND(C41=O16,D41&lt;130,D41&lt;&gt;0)),O39,O40)</f>
        <v xml:space="preserve"> </v>
      </c>
      <c r="D45" s="153"/>
      <c r="E45" s="23"/>
      <c r="F45" s="23"/>
      <c r="G45" s="23"/>
      <c r="H45" s="20" t="s">
        <v>81</v>
      </c>
      <c r="I45" s="48" t="s">
        <v>128</v>
      </c>
      <c r="J45" s="89">
        <f>E12*2-E14-E15</f>
        <v>4</v>
      </c>
      <c r="K45" s="96"/>
      <c r="M45" s="62">
        <f>(M35+M42)*1.05</f>
        <v>33.89297835</v>
      </c>
      <c r="O45" s="63" t="s">
        <v>63</v>
      </c>
    </row>
    <row r="46" spans="2:15" ht="21" customHeight="1" x14ac:dyDescent="0.35">
      <c r="B46" s="23"/>
      <c r="C46" s="23"/>
      <c r="D46" s="23"/>
      <c r="E46" s="23"/>
      <c r="F46" s="23"/>
      <c r="G46" s="23"/>
      <c r="H46" s="20" t="s">
        <v>16</v>
      </c>
      <c r="I46" s="19" t="s">
        <v>129</v>
      </c>
      <c r="J46" s="87">
        <f>CEILING(K17*K7/1000,1)</f>
        <v>11</v>
      </c>
      <c r="K46" s="88"/>
      <c r="O46" s="63" t="s">
        <v>64</v>
      </c>
    </row>
    <row r="47" spans="2:15" ht="20.100000000000001" customHeight="1" x14ac:dyDescent="0.35">
      <c r="B47" s="23"/>
      <c r="C47" s="153" t="str">
        <f>IF(AND(SUM(G37:G41)/C34=1,D41=0,C34&lt;&gt;1),O52,O53)</f>
        <v xml:space="preserve"> </v>
      </c>
      <c r="D47" s="153"/>
      <c r="E47" s="23"/>
      <c r="F47" s="23"/>
      <c r="G47" s="23"/>
      <c r="H47" s="20" t="s">
        <v>77</v>
      </c>
      <c r="I47" s="19" t="s">
        <v>129</v>
      </c>
      <c r="J47" s="87">
        <f>IF(AND(D7&lt;&gt;R4,E23=O57),CEILING(K17*K7/1000,1),0)</f>
        <v>11</v>
      </c>
      <c r="K47" s="88"/>
      <c r="O47" s="63" t="s">
        <v>65</v>
      </c>
    </row>
    <row r="48" spans="2:15" ht="20.100000000000001" customHeight="1" x14ac:dyDescent="0.35">
      <c r="B48" s="23"/>
      <c r="C48" s="23"/>
      <c r="D48" s="23"/>
      <c r="E48" s="23"/>
      <c r="F48" s="23"/>
      <c r="G48" s="23"/>
      <c r="H48" s="20" t="s">
        <v>72</v>
      </c>
      <c r="I48" s="48" t="s">
        <v>130</v>
      </c>
      <c r="J48" s="87">
        <f>IF(AND(D7&lt;&gt;R4,E23=O58),CEILING(K17*K7/1000,1),0)</f>
        <v>0</v>
      </c>
      <c r="K48" s="152"/>
      <c r="O48" s="63" t="s">
        <v>66</v>
      </c>
    </row>
    <row r="49" spans="2:15" ht="20.100000000000001" customHeight="1" x14ac:dyDescent="0.35">
      <c r="B49" s="23"/>
      <c r="C49" s="23"/>
      <c r="D49" s="23"/>
      <c r="E49" s="23"/>
      <c r="F49" s="23"/>
      <c r="G49" s="23"/>
      <c r="H49" s="20" t="s">
        <v>132</v>
      </c>
      <c r="I49" s="48" t="s">
        <v>131</v>
      </c>
      <c r="J49" s="87">
        <f>IF(E22=O20,CEILING((J16+40)*2/1000,1),0)</f>
        <v>0</v>
      </c>
      <c r="K49" s="88"/>
      <c r="O49" s="63" t="s">
        <v>67</v>
      </c>
    </row>
    <row r="50" spans="2:15" ht="20.100000000000001" customHeight="1" x14ac:dyDescent="0.35">
      <c r="G50" s="23"/>
      <c r="H50" s="64" t="s">
        <v>124</v>
      </c>
      <c r="I50" s="48" t="s">
        <v>125</v>
      </c>
      <c r="J50" s="97">
        <f>IF(B31=O11,ROUND((E19+F20)*E12*4+(K8/300+1)*((E18+E17+E16)*2),1),0)</f>
        <v>0</v>
      </c>
      <c r="K50" s="99"/>
    </row>
    <row r="51" spans="2:15" ht="20.100000000000001" customHeight="1" x14ac:dyDescent="0.35">
      <c r="G51" s="23"/>
      <c r="H51" s="64" t="s">
        <v>134</v>
      </c>
      <c r="I51" s="48" t="s">
        <v>133</v>
      </c>
      <c r="J51" s="97">
        <f>K28*4+K29*2</f>
        <v>28</v>
      </c>
      <c r="K51" s="99"/>
      <c r="O51" s="66"/>
    </row>
    <row r="52" spans="2:15" ht="20.100000000000001" customHeight="1" x14ac:dyDescent="0.35">
      <c r="G52" s="23"/>
      <c r="H52" s="65" t="s">
        <v>136</v>
      </c>
      <c r="I52" s="48" t="s">
        <v>135</v>
      </c>
      <c r="J52" s="100">
        <f>CEILING(SUM(J30*K30,J31*K31,J32*K32,J33*K33,J34*K34)/1000,1)</f>
        <v>11</v>
      </c>
      <c r="K52" s="101"/>
      <c r="O52" s="26" t="s">
        <v>73</v>
      </c>
    </row>
    <row r="53" spans="2:15" x14ac:dyDescent="0.35">
      <c r="G53" s="23"/>
      <c r="H53" s="20" t="s">
        <v>126</v>
      </c>
      <c r="I53" s="21" t="s">
        <v>127</v>
      </c>
      <c r="J53" s="89">
        <f>IF(E24=O20,E13,0)</f>
        <v>0</v>
      </c>
      <c r="K53" s="90"/>
      <c r="O53" s="26" t="s">
        <v>13</v>
      </c>
    </row>
    <row r="54" spans="2:15" x14ac:dyDescent="0.35">
      <c r="G54" s="23"/>
      <c r="H54" s="20" t="s">
        <v>35</v>
      </c>
      <c r="I54" s="48" t="s">
        <v>142</v>
      </c>
      <c r="J54" s="89">
        <f>J18*K18/250*1.1</f>
        <v>15.681600000000001</v>
      </c>
      <c r="K54" s="96"/>
    </row>
    <row r="55" spans="2:15" x14ac:dyDescent="0.35">
      <c r="B55" s="23"/>
      <c r="D55" s="23"/>
      <c r="E55" s="23"/>
      <c r="F55" s="23"/>
      <c r="G55" s="23"/>
      <c r="H55" s="49" t="s">
        <v>36</v>
      </c>
      <c r="I55" s="48" t="s">
        <v>140</v>
      </c>
      <c r="J55" s="97">
        <f>(IF(C37=O15,(D37/250)*2*E12+IF(D41&lt;&gt;0,(E37/250)*E12,0)+IF(D7=R3,J38*4)+J39*8+J40*8+(D37/300)*2*K21,0)+IF(AND(C38=O15,D38&lt;&gt;0),(D38/250)*2*E12+(E38/250)*E12*2+(D38/300)*2*K21,0)+IF(AND(C39=O15,D39&lt;&gt;0),(D39/250)*2*E12+(E39/250)*E12*2+(D39/300)*2*K21,0)+IF(AND(C40=O15,D40&lt;&gt;0),(D40/250)*2*E12+(E40/250)*E12*2+(D40/300)*2*K21,0)+IF(AND(C41=O15,D41&lt;&gt;0),(D41/250)*2*E12+(E41/250)*E12*2+(D41/300)*2*K21+J37*8,0)+J19*K19/250+J20*K20/250+J58*20)*1.1</f>
        <v>0</v>
      </c>
      <c r="K55" s="98"/>
    </row>
    <row r="56" spans="2:15" ht="18" customHeight="1" x14ac:dyDescent="0.35">
      <c r="B56" s="91" t="s">
        <v>74</v>
      </c>
      <c r="C56" s="23"/>
      <c r="D56" s="23"/>
      <c r="E56" s="23"/>
      <c r="F56" s="23"/>
      <c r="G56" s="23"/>
      <c r="H56" s="20" t="s">
        <v>37</v>
      </c>
      <c r="I56" s="48" t="s">
        <v>143</v>
      </c>
      <c r="J56" s="89">
        <f>K24*2*1.1</f>
        <v>0</v>
      </c>
      <c r="K56" s="151"/>
      <c r="L56" s="82"/>
      <c r="O56" s="26" t="s">
        <v>71</v>
      </c>
    </row>
    <row r="57" spans="2:15" x14ac:dyDescent="0.35">
      <c r="B57" s="91"/>
      <c r="C57" s="23"/>
      <c r="D57" s="23"/>
      <c r="E57" s="23"/>
      <c r="F57" s="23"/>
      <c r="G57" s="23"/>
      <c r="H57" s="20" t="s">
        <v>38</v>
      </c>
      <c r="I57" s="48" t="s">
        <v>141</v>
      </c>
      <c r="J57" s="89">
        <f>((K23*2+J22*K22/250+E19*2*E12)+IF(C37=O16,(D37/250)*2*E12+IF(D41&lt;&gt;0,(E37/250)*E12*4,0)+IF(D7=R3,J38*4)+J39*8+J40*8+(D37/300)*2*K21,0)+IF(AND(C38=O16,D38&lt;&gt;0),(D38/250)*2*E12+(E38/250)*E12*4+(D38/300)*2*K21,0)+IF(AND(C39=O16,D39&lt;&gt;0),(D39/250)*2*E12+(E39/250)*E12*4+(D39/300)*2*K21,0)+IF(AND(C40=O16,D40&lt;&gt;0),(D40/250)*2*E12+(E40/250)*E12*4+(D40/300)*2*K21,0)+IF(AND(C41=O16,D41&lt;&gt;0),(D41/250)*2*E12+(E41/250)*E12*4+(D41/300)*2*K21+J37*8,0))*1.1</f>
        <v>137.79626666666667</v>
      </c>
      <c r="K57" s="151"/>
      <c r="L57" s="82"/>
      <c r="O57" s="26" t="s">
        <v>75</v>
      </c>
    </row>
    <row r="58" spans="2:15" ht="18.600000000000001" thickBot="1" x14ac:dyDescent="0.4">
      <c r="B58" s="91"/>
      <c r="C58" s="23"/>
      <c r="D58" s="23"/>
      <c r="E58" s="23"/>
      <c r="F58" s="23"/>
      <c r="G58" s="23"/>
      <c r="H58" s="160" t="s">
        <v>137</v>
      </c>
      <c r="I58" s="161" t="s">
        <v>139</v>
      </c>
      <c r="J58" s="164">
        <f>IF(J21=0,IF(K12&lt;1000,2*E12,IF(K12&gt;=1000,3*E12)),0)</f>
        <v>0</v>
      </c>
      <c r="K58" s="165"/>
      <c r="O58" s="26" t="s">
        <v>76</v>
      </c>
    </row>
    <row r="59" spans="2:15" x14ac:dyDescent="0.35">
      <c r="C59" s="23"/>
      <c r="D59" s="23"/>
      <c r="E59" s="23"/>
      <c r="F59" s="23"/>
    </row>
    <row r="60" spans="2:15" ht="18.600000000000001" thickBot="1" x14ac:dyDescent="0.4">
      <c r="C60" s="74"/>
      <c r="D60" s="74"/>
      <c r="E60" s="26"/>
      <c r="F60" s="26"/>
      <c r="H60" s="150" t="s">
        <v>93</v>
      </c>
      <c r="I60" s="150"/>
      <c r="J60" s="150"/>
      <c r="K60" s="150"/>
    </row>
    <row r="61" spans="2:15" ht="18.600000000000001" thickBot="1" x14ac:dyDescent="0.4">
      <c r="D61" s="24" t="s">
        <v>78</v>
      </c>
      <c r="E61" s="25">
        <f>ROUNDUP(M45,0)</f>
        <v>34</v>
      </c>
      <c r="F61" s="79"/>
      <c r="G61" s="31"/>
      <c r="H61" s="150"/>
      <c r="I61" s="150"/>
      <c r="J61" s="150"/>
      <c r="K61" s="150"/>
    </row>
    <row r="62" spans="2:15" x14ac:dyDescent="0.35">
      <c r="G62" s="23"/>
    </row>
    <row r="63" spans="2:15" x14ac:dyDescent="0.35">
      <c r="G63" s="23"/>
      <c r="H63" s="26" t="s">
        <v>84</v>
      </c>
    </row>
    <row r="64" spans="2:15" x14ac:dyDescent="0.35">
      <c r="G64" s="23"/>
    </row>
    <row r="65" spans="2:12" x14ac:dyDescent="0.35">
      <c r="G65" s="23"/>
      <c r="H65" s="26" t="s">
        <v>94</v>
      </c>
    </row>
    <row r="66" spans="2:12" ht="19.8" customHeight="1" x14ac:dyDescent="0.5">
      <c r="L66" s="81"/>
    </row>
    <row r="67" spans="2:12" ht="25.8" x14ac:dyDescent="0.5">
      <c r="B67" s="149" t="s">
        <v>92</v>
      </c>
      <c r="C67" s="149"/>
      <c r="D67" s="149"/>
      <c r="E67" s="149"/>
      <c r="F67" s="149"/>
      <c r="G67" s="149"/>
      <c r="H67" s="149"/>
      <c r="I67" s="149"/>
      <c r="J67" s="149"/>
      <c r="K67" s="149"/>
    </row>
    <row r="68" spans="2:12" ht="18.600000000000001" thickBot="1" x14ac:dyDescent="0.4">
      <c r="D68" s="77"/>
      <c r="E68" s="77"/>
    </row>
    <row r="69" spans="2:12" ht="21.6" thickBot="1" x14ac:dyDescent="0.45">
      <c r="B69" s="80" t="s">
        <v>85</v>
      </c>
      <c r="D69" s="143" t="s">
        <v>86</v>
      </c>
      <c r="E69" s="144"/>
      <c r="F69" s="145"/>
      <c r="I69" s="146" t="s">
        <v>87</v>
      </c>
      <c r="J69" s="147"/>
      <c r="K69" s="148"/>
    </row>
    <row r="70" spans="2:12" x14ac:dyDescent="0.35">
      <c r="G70" s="23"/>
    </row>
    <row r="71" spans="2:12" x14ac:dyDescent="0.35">
      <c r="G71" s="23"/>
    </row>
    <row r="72" spans="2:12" x14ac:dyDescent="0.35">
      <c r="G72" s="23"/>
    </row>
    <row r="73" spans="2:12" x14ac:dyDescent="0.35">
      <c r="G73" s="23"/>
    </row>
    <row r="74" spans="2:12" x14ac:dyDescent="0.35">
      <c r="B74" s="23"/>
      <c r="C74" s="23"/>
      <c r="D74" s="23"/>
      <c r="E74" s="23"/>
      <c r="F74" s="23"/>
      <c r="G74" s="23"/>
    </row>
  </sheetData>
  <sheetProtection algorithmName="SHA-512" hashValue="iHQoaJzR3I5ItD0MuDZUr2x9eCAUucFdzpCb1ez5iuCtkOyreVT3wjbteuEigVAI0NdLFjQZvICQiQJAfaQ6Mg==" saltValue="9BFOMAj5mcbGmZ/J3JJw6A==" spinCount="100000" sheet="1" objects="1" scenarios="1" selectLockedCells="1"/>
  <mergeCells count="73">
    <mergeCell ref="B19:D19"/>
    <mergeCell ref="B20:D20"/>
    <mergeCell ref="J39:K39"/>
    <mergeCell ref="J40:K40"/>
    <mergeCell ref="D69:F69"/>
    <mergeCell ref="I69:K69"/>
    <mergeCell ref="B67:K67"/>
    <mergeCell ref="H60:K61"/>
    <mergeCell ref="J44:K44"/>
    <mergeCell ref="J48:K48"/>
    <mergeCell ref="J45:K45"/>
    <mergeCell ref="C45:D45"/>
    <mergeCell ref="C47:D47"/>
    <mergeCell ref="J42:K42"/>
    <mergeCell ref="J43:K43"/>
    <mergeCell ref="J56:K56"/>
    <mergeCell ref="B14:D14"/>
    <mergeCell ref="B15:D15"/>
    <mergeCell ref="B16:D16"/>
    <mergeCell ref="B17:D17"/>
    <mergeCell ref="B18:D18"/>
    <mergeCell ref="B9:D9"/>
    <mergeCell ref="B10:D10"/>
    <mergeCell ref="B11:D11"/>
    <mergeCell ref="B12:D12"/>
    <mergeCell ref="B13:D13"/>
    <mergeCell ref="E15:F15"/>
    <mergeCell ref="E16:F16"/>
    <mergeCell ref="E21:F21"/>
    <mergeCell ref="E22:F22"/>
    <mergeCell ref="E23:F23"/>
    <mergeCell ref="E17:F17"/>
    <mergeCell ref="E18:F18"/>
    <mergeCell ref="E19:F19"/>
    <mergeCell ref="B2:K3"/>
    <mergeCell ref="B5:E5"/>
    <mergeCell ref="H7:I8"/>
    <mergeCell ref="H11:I12"/>
    <mergeCell ref="H5:K5"/>
    <mergeCell ref="B7:C7"/>
    <mergeCell ref="D7:F7"/>
    <mergeCell ref="E9:F9"/>
    <mergeCell ref="E10:F10"/>
    <mergeCell ref="E11:F11"/>
    <mergeCell ref="E12:F12"/>
    <mergeCell ref="E13:F13"/>
    <mergeCell ref="E14:F14"/>
    <mergeCell ref="B56:B58"/>
    <mergeCell ref="B30:C30"/>
    <mergeCell ref="B31:C31"/>
    <mergeCell ref="J49:K49"/>
    <mergeCell ref="J54:K54"/>
    <mergeCell ref="J55:K55"/>
    <mergeCell ref="J51:K51"/>
    <mergeCell ref="J50:K50"/>
    <mergeCell ref="J52:K52"/>
    <mergeCell ref="J36:K36"/>
    <mergeCell ref="J41:K41"/>
    <mergeCell ref="J37:K37"/>
    <mergeCell ref="D34:E34"/>
    <mergeCell ref="J57:K57"/>
    <mergeCell ref="J46:K46"/>
    <mergeCell ref="J58:K58"/>
    <mergeCell ref="B21:D21"/>
    <mergeCell ref="B22:D22"/>
    <mergeCell ref="B23:D23"/>
    <mergeCell ref="J47:K47"/>
    <mergeCell ref="J53:K53"/>
    <mergeCell ref="B24:D24"/>
    <mergeCell ref="E24:F24"/>
    <mergeCell ref="E25:F25"/>
    <mergeCell ref="B25:D25"/>
    <mergeCell ref="J38:K38"/>
  </mergeCells>
  <conditionalFormatting sqref="E14">
    <cfRule type="expression" dxfId="7" priority="27">
      <formula>$E$14&gt;$E$12*2</formula>
    </cfRule>
  </conditionalFormatting>
  <conditionalFormatting sqref="E15">
    <cfRule type="expression" dxfId="6" priority="2">
      <formula>$E$14&gt;$E$12*2</formula>
    </cfRule>
  </conditionalFormatting>
  <conditionalFormatting sqref="C43">
    <cfRule type="expression" dxfId="5" priority="33">
      <formula>$C$43=$O$33</formula>
    </cfRule>
    <cfRule type="expression" dxfId="4" priority="34">
      <formula>$C$43=$O$34</formula>
    </cfRule>
  </conditionalFormatting>
  <conditionalFormatting sqref="D34">
    <cfRule type="expression" dxfId="3" priority="35">
      <formula>$D$34=$O$37</formula>
    </cfRule>
  </conditionalFormatting>
  <conditionalFormatting sqref="C45">
    <cfRule type="expression" dxfId="2" priority="36">
      <formula>$C$45=$O$39</formula>
    </cfRule>
  </conditionalFormatting>
  <conditionalFormatting sqref="C47">
    <cfRule type="expression" dxfId="1" priority="37">
      <formula>$C$47=$O$52</formula>
    </cfRule>
  </conditionalFormatting>
  <conditionalFormatting sqref="E25:F25">
    <cfRule type="expression" dxfId="0" priority="1">
      <formula>AND($E$25=$O$20,OR($C$37=$O$16,$C$41=$O$16))</formula>
    </cfRule>
  </conditionalFormatting>
  <dataValidations count="11">
    <dataValidation type="whole" allowBlank="1" showInputMessage="1" showErrorMessage="1" sqref="E13">
      <formula1>1</formula1>
      <formula2>4</formula2>
    </dataValidation>
    <dataValidation type="whole" allowBlank="1" showInputMessage="1" showErrorMessage="1" sqref="F20">
      <formula1>0</formula1>
      <formula2>2</formula2>
    </dataValidation>
    <dataValidation type="whole" allowBlank="1" showInputMessage="1" showErrorMessage="1" sqref="E12">
      <formula1>1</formula1>
      <formula2>5</formula2>
    </dataValidation>
    <dataValidation type="whole" operator="greaterThan" allowBlank="1" showInputMessage="1" showErrorMessage="1" sqref="E16:E19">
      <formula1>-1</formula1>
    </dataValidation>
    <dataValidation type="list" allowBlank="1" showInputMessage="1" showErrorMessage="1" sqref="B31">
      <formula1>$O$10:$O$11</formula1>
    </dataValidation>
    <dataValidation type="list" allowBlank="1" showInputMessage="1" showErrorMessage="1" sqref="C37:C41">
      <formula1>$O$15:$O$16</formula1>
    </dataValidation>
    <dataValidation type="list" allowBlank="1" showInputMessage="1" showErrorMessage="1" sqref="E11">
      <formula1>$O$45:$O$49</formula1>
    </dataValidation>
    <dataValidation type="list" allowBlank="1" showInputMessage="1" showErrorMessage="1" sqref="E23">
      <formula1>$O$56:$O$58</formula1>
    </dataValidation>
    <dataValidation type="list" allowBlank="1" showInputMessage="1" showErrorMessage="1" sqref="E24 E21:E22 E25:F25">
      <formula1>$O$20:$O$21</formula1>
    </dataValidation>
    <dataValidation type="whole" allowBlank="1" showInputMessage="1" showErrorMessage="1" errorTitle="Неверное количество" error="Не более двух доводчиков на одну дверь." sqref="E14:E15">
      <formula1>0</formula1>
      <formula2>E12*2</formula2>
    </dataValidation>
    <dataValidation type="list" allowBlank="1" showInputMessage="1" showErrorMessage="1" sqref="D7">
      <formula1>$R$3:$R$5</formula1>
    </dataValidation>
  </dataValidations>
  <printOptions horizontalCentered="1"/>
  <pageMargins left="0.39370078740157483" right="0.39370078740157483" top="0.39370078740157483" bottom="0.39370078740157483" header="0" footer="0"/>
  <pageSetup paperSize="9" scale="48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BCDD4A46-F2CB-4356-B607-A4ABC54B7586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Видимый верхний трек</vt:lpstr>
      <vt:lpstr>'Видимый верхний трек'!Print_Area</vt:lpstr>
      <vt:lpstr>'Видимый верхний трек'!Область_печати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2021-12-09T15:01:57Z</dcterms:modified>
</cp:coreProperties>
</file>