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a_prun\Desktop\"/>
    </mc:Choice>
  </mc:AlternateContent>
  <bookViews>
    <workbookView xWindow="0" yWindow="0" windowWidth="23040" windowHeight="9192" tabRatio="681" activeTab="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 concurrentCalc="0"/>
</workbook>
</file>

<file path=xl/calcChain.xml><?xml version="1.0" encoding="utf-8"?>
<calcChain xmlns="http://schemas.openxmlformats.org/spreadsheetml/2006/main">
  <c r="K5" i="5" l="1"/>
  <c r="D18" i="5"/>
  <c r="C11" i="5"/>
  <c r="N31" i="5"/>
  <c r="N26" i="5"/>
  <c r="N37" i="5"/>
  <c r="N28" i="5"/>
  <c r="N46" i="5"/>
  <c r="N23" i="5"/>
  <c r="N24" i="5"/>
  <c r="N25" i="5"/>
  <c r="N29" i="5"/>
  <c r="N30" i="5"/>
  <c r="M14" i="5"/>
  <c r="M15" i="5"/>
  <c r="M16" i="5"/>
  <c r="N32" i="5"/>
  <c r="L11" i="5"/>
  <c r="N33" i="5"/>
  <c r="N35" i="5"/>
  <c r="F34" i="5"/>
  <c r="G34" i="5"/>
  <c r="F35" i="5"/>
  <c r="G35" i="5"/>
  <c r="F36" i="5"/>
  <c r="G36" i="5"/>
  <c r="F37" i="5"/>
  <c r="G37" i="5"/>
  <c r="F38" i="5"/>
  <c r="G38" i="5"/>
  <c r="K6" i="5"/>
  <c r="AB4" i="5"/>
  <c r="E34" i="5"/>
  <c r="N36" i="5"/>
  <c r="N38" i="5"/>
  <c r="N39" i="5"/>
  <c r="N40" i="5"/>
  <c r="M10" i="5"/>
  <c r="L10" i="5"/>
  <c r="N41" i="5"/>
  <c r="N42" i="5"/>
  <c r="N45" i="5"/>
  <c r="N27" i="5"/>
  <c r="N34" i="5"/>
  <c r="D20" i="5"/>
  <c r="N44" i="5"/>
  <c r="K6" i="4"/>
  <c r="N37" i="4"/>
  <c r="M37" i="4"/>
  <c r="V2" i="1"/>
  <c r="K6" i="1"/>
  <c r="E25" i="1"/>
  <c r="L13" i="1"/>
  <c r="J13" i="1"/>
  <c r="K13" i="1"/>
  <c r="W2" i="3"/>
  <c r="K6" i="3"/>
  <c r="E29" i="3"/>
  <c r="L13" i="3"/>
  <c r="J13" i="3"/>
  <c r="K13" i="3"/>
  <c r="U2" i="4"/>
  <c r="J16" i="4"/>
  <c r="K16" i="4"/>
  <c r="J16" i="5"/>
  <c r="K16" i="5"/>
  <c r="N29" i="3"/>
  <c r="K5" i="3"/>
  <c r="M11" i="3"/>
  <c r="M12" i="3"/>
  <c r="N35" i="3"/>
  <c r="N20" i="3"/>
  <c r="R53" i="5"/>
  <c r="R54" i="5"/>
  <c r="R55" i="5"/>
  <c r="R56" i="5"/>
  <c r="R57" i="5"/>
  <c r="R58" i="5"/>
  <c r="R59" i="5"/>
  <c r="R52" i="5"/>
  <c r="P56" i="4"/>
  <c r="Q56" i="3"/>
  <c r="P56" i="1"/>
  <c r="P55" i="4"/>
  <c r="Q55" i="3"/>
  <c r="P55" i="1"/>
  <c r="P58" i="4"/>
  <c r="Q58" i="3"/>
  <c r="P58" i="1"/>
  <c r="P54" i="4"/>
  <c r="Q54" i="3"/>
  <c r="P54" i="1"/>
  <c r="Q52" i="3"/>
  <c r="P52" i="1"/>
  <c r="P52" i="4"/>
  <c r="P59" i="4"/>
  <c r="Q59" i="3"/>
  <c r="P59" i="1"/>
  <c r="P57" i="4"/>
  <c r="Q57" i="3"/>
  <c r="P57" i="1"/>
  <c r="P53" i="4"/>
  <c r="Q53" i="3"/>
  <c r="P53" i="1"/>
  <c r="M12" i="5"/>
  <c r="L12" i="5"/>
  <c r="N38" i="4"/>
  <c r="K5" i="4"/>
  <c r="L16" i="4"/>
  <c r="E28" i="4"/>
  <c r="N36" i="4"/>
  <c r="D21" i="5"/>
  <c r="M13" i="5"/>
  <c r="M11" i="5"/>
  <c r="O11" i="5"/>
  <c r="L16" i="5"/>
  <c r="L13" i="5"/>
  <c r="N11" i="5"/>
  <c r="O12" i="5"/>
  <c r="N12" i="5"/>
  <c r="G30" i="4"/>
  <c r="G31" i="4"/>
  <c r="G32" i="4"/>
  <c r="G29" i="4"/>
  <c r="N29" i="4"/>
  <c r="N24" i="3"/>
  <c r="N30" i="1"/>
  <c r="N29" i="1"/>
  <c r="G27" i="1"/>
  <c r="G28" i="1"/>
  <c r="G29" i="1"/>
  <c r="G26" i="1"/>
  <c r="G25" i="1"/>
  <c r="N24" i="1"/>
  <c r="M17" i="1"/>
  <c r="M16" i="1"/>
  <c r="M13" i="1"/>
  <c r="M11" i="1"/>
  <c r="L16" i="1"/>
  <c r="K5" i="1"/>
  <c r="D5" i="1"/>
  <c r="C21" i="1"/>
  <c r="L10" i="1"/>
  <c r="F28" i="1"/>
  <c r="F26" i="1"/>
  <c r="F29" i="1"/>
  <c r="F27" i="1"/>
  <c r="F25" i="1"/>
  <c r="O16" i="1"/>
  <c r="L15" i="1"/>
  <c r="M15" i="1"/>
  <c r="L11" i="1"/>
  <c r="O11" i="1"/>
  <c r="L14" i="1"/>
  <c r="M14" i="1"/>
  <c r="N34" i="3"/>
  <c r="N26" i="1"/>
  <c r="L17" i="1"/>
  <c r="O14" i="1"/>
  <c r="I29" i="1"/>
  <c r="I28" i="1"/>
  <c r="I27" i="1"/>
  <c r="I26" i="1"/>
  <c r="D5" i="4"/>
  <c r="H26" i="1"/>
  <c r="H28" i="1"/>
  <c r="H27" i="1"/>
  <c r="H29" i="1"/>
  <c r="N32" i="4"/>
  <c r="N28" i="4"/>
  <c r="N27" i="4"/>
  <c r="N26" i="4"/>
  <c r="N25" i="4"/>
  <c r="N24" i="4"/>
  <c r="N23" i="4"/>
  <c r="L17" i="4"/>
  <c r="L12" i="4"/>
  <c r="L11" i="4"/>
  <c r="D5" i="3"/>
  <c r="C24" i="4"/>
  <c r="G28" i="4"/>
  <c r="I32" i="4"/>
  <c r="I31" i="4"/>
  <c r="I30" i="4"/>
  <c r="I29" i="4"/>
  <c r="N36" i="3"/>
  <c r="N25" i="3"/>
  <c r="N23" i="3"/>
  <c r="N22" i="3"/>
  <c r="N21" i="3"/>
  <c r="D5" i="5"/>
  <c r="L13" i="4"/>
  <c r="L14" i="4"/>
  <c r="F29" i="4"/>
  <c r="H29" i="4"/>
  <c r="F31" i="4"/>
  <c r="H31" i="4"/>
  <c r="F28" i="4"/>
  <c r="F30" i="4"/>
  <c r="H30" i="4"/>
  <c r="F32" i="4"/>
  <c r="L14" i="3"/>
  <c r="M13" i="3"/>
  <c r="M10" i="3"/>
  <c r="I33" i="3"/>
  <c r="I32" i="3"/>
  <c r="I31" i="3"/>
  <c r="I30" i="3"/>
  <c r="C25" i="3"/>
  <c r="G33" i="3"/>
  <c r="G32" i="3"/>
  <c r="G31" i="3"/>
  <c r="G30" i="3"/>
  <c r="G29" i="3"/>
  <c r="N31" i="3"/>
  <c r="H32" i="4"/>
  <c r="N43" i="5"/>
  <c r="D6" i="5"/>
  <c r="I35" i="5"/>
  <c r="I36" i="5"/>
  <c r="I37" i="5"/>
  <c r="I38" i="5"/>
  <c r="C30" i="5"/>
  <c r="D30" i="5"/>
  <c r="O16" i="5"/>
  <c r="Y4" i="5"/>
  <c r="Y5" i="5"/>
  <c r="N39" i="4"/>
  <c r="L14" i="5"/>
  <c r="O14" i="5"/>
  <c r="N14" i="5"/>
  <c r="D6" i="1"/>
  <c r="D6" i="3"/>
  <c r="D6" i="4"/>
  <c r="L10" i="4"/>
  <c r="L10" i="3"/>
  <c r="N32" i="3"/>
  <c r="M12" i="1"/>
  <c r="N25" i="1"/>
  <c r="M10" i="1"/>
  <c r="N31" i="1"/>
  <c r="N32" i="1"/>
  <c r="N28" i="1"/>
  <c r="N27" i="1"/>
  <c r="I25" i="1"/>
  <c r="H25" i="1"/>
  <c r="H30" i="1"/>
  <c r="N33" i="3"/>
  <c r="N16" i="1"/>
  <c r="N33" i="4"/>
  <c r="N34" i="4"/>
  <c r="H28" i="4"/>
  <c r="H33" i="4"/>
  <c r="I28" i="4"/>
  <c r="I29" i="3"/>
  <c r="C39" i="3"/>
  <c r="I34" i="5"/>
  <c r="C44" i="5"/>
  <c r="L12" i="1"/>
  <c r="N13" i="1"/>
  <c r="O13" i="1"/>
  <c r="N12" i="1"/>
  <c r="O12" i="1"/>
  <c r="C31" i="1"/>
  <c r="E31" i="1"/>
  <c r="C35" i="1"/>
  <c r="C38" i="4"/>
  <c r="C34" i="4"/>
  <c r="E34" i="4"/>
  <c r="C35" i="3"/>
  <c r="E35" i="3"/>
  <c r="H37" i="5"/>
  <c r="H38" i="5"/>
  <c r="H36" i="5"/>
  <c r="C40" i="5"/>
  <c r="D40" i="5"/>
  <c r="H35" i="5"/>
  <c r="H34" i="5"/>
  <c r="N14" i="1"/>
  <c r="N11" i="1"/>
  <c r="N26" i="3"/>
  <c r="N30" i="3"/>
  <c r="S3" i="1"/>
  <c r="S2" i="1"/>
  <c r="F31" i="3"/>
  <c r="F33" i="3"/>
  <c r="H33" i="3"/>
  <c r="F30" i="3"/>
  <c r="H30" i="3"/>
  <c r="F32" i="3"/>
  <c r="H32" i="3"/>
  <c r="F29" i="3"/>
  <c r="H39" i="5"/>
  <c r="O17" i="1"/>
  <c r="N17" i="1"/>
  <c r="M13" i="4"/>
  <c r="O13" i="4"/>
  <c r="M12" i="4"/>
  <c r="M10" i="4"/>
  <c r="M17" i="4"/>
  <c r="O17" i="4"/>
  <c r="M16" i="4"/>
  <c r="M15" i="4"/>
  <c r="M14" i="4"/>
  <c r="N30" i="4"/>
  <c r="N35" i="4"/>
  <c r="H31" i="3"/>
  <c r="N27" i="3"/>
  <c r="O16" i="4"/>
  <c r="O14" i="4"/>
  <c r="H29" i="3"/>
  <c r="N28" i="3"/>
  <c r="N13" i="3"/>
  <c r="O13" i="3"/>
  <c r="T3" i="3"/>
  <c r="T2" i="3"/>
  <c r="R3" i="4"/>
  <c r="R2" i="4"/>
  <c r="H34" i="3"/>
  <c r="M14" i="3"/>
  <c r="O14" i="3"/>
  <c r="N16" i="5"/>
  <c r="M11" i="4"/>
  <c r="O11" i="4"/>
  <c r="N12" i="4"/>
  <c r="N31" i="4"/>
  <c r="O10" i="4"/>
  <c r="O12" i="4"/>
  <c r="N11" i="4"/>
  <c r="N17" i="4"/>
  <c r="N14" i="3"/>
  <c r="O10" i="5"/>
  <c r="O10" i="1"/>
  <c r="O10" i="3"/>
  <c r="L12" i="3"/>
  <c r="L15" i="5"/>
  <c r="O15" i="5"/>
  <c r="L15" i="4"/>
  <c r="O15" i="4"/>
  <c r="L11" i="3"/>
  <c r="N11" i="3"/>
  <c r="O11" i="3"/>
  <c r="N12" i="3"/>
  <c r="O12" i="3"/>
  <c r="N14" i="4"/>
  <c r="N15" i="4"/>
  <c r="N13" i="4"/>
  <c r="N16" i="4"/>
  <c r="N15" i="5"/>
</calcChain>
</file>

<file path=xl/sharedStrings.xml><?xml version="1.0" encoding="utf-8"?>
<sst xmlns="http://schemas.openxmlformats.org/spreadsheetml/2006/main" count="565" uniqueCount="213">
  <si>
    <t>наименование</t>
  </si>
  <si>
    <t>артикул</t>
  </si>
  <si>
    <t>вертикальный профиль</t>
  </si>
  <si>
    <t>рамка верхняя</t>
  </si>
  <si>
    <t>рамка нижняя</t>
  </si>
  <si>
    <t>критерий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</si>
  <si>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</si>
  <si>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</si>
  <si>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</si>
  <si>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</si>
  <si>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</si>
  <si>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</si>
  <si>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</si>
  <si>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</si>
  <si>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</si>
  <si>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</si>
  <si>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</si>
  <si>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</si>
  <si>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</si>
  <si>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</si>
  <si>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</si>
  <si>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</si>
  <si>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</si>
  <si>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</si>
  <si>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</si>
  <si>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</si>
  <si>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</si>
  <si>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</si>
  <si>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</si>
  <si>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</si>
  <si>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</si>
  <si>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</si>
  <si>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</si>
  <si>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>Держатель ручки-рейлинг</t>
  </si>
  <si>
    <t>Доводчик для подвесной системы</t>
  </si>
  <si>
    <t>Заглушка для ручки-рейлинг</t>
  </si>
  <si>
    <t xml:space="preserve">Механизм последовательного открывания правый </t>
  </si>
  <si>
    <t>Механизм распашной, шкафной</t>
  </si>
  <si>
    <t xml:space="preserve">Ножка регулируемая </t>
  </si>
  <si>
    <t>Ограничитель складной двери</t>
  </si>
  <si>
    <t xml:space="preserve">Опора верхняя, неподвижная </t>
  </si>
  <si>
    <t>Петля</t>
  </si>
  <si>
    <t>Подвес верхней направляющей</t>
  </si>
  <si>
    <t>Ролик верхний складной системы</t>
  </si>
  <si>
    <t>Ролик нижний с площадкой</t>
  </si>
  <si>
    <t>Стопор распашного механизма</t>
  </si>
  <si>
    <t>Стопор для подвесной системы</t>
  </si>
  <si>
    <t>Стопор для складной системы</t>
  </si>
  <si>
    <t>Уплотнитель полиуретановый</t>
  </si>
  <si>
    <t>Расчет размеров, количества и стоимости для подвесной перегородки</t>
  </si>
  <si>
    <t>цена 1 кв.м.</t>
  </si>
  <si>
    <t xml:space="preserve">Общая стоимость наполнения:   </t>
  </si>
  <si>
    <t>Заглушка дверная</t>
  </si>
  <si>
    <t>Уплотнитель П-образный 8 мм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</si>
  <si>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</si>
  <si>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</si>
  <si>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</si>
  <si>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</si>
  <si>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</si>
  <si>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</si>
  <si>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</si>
  <si>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</si>
  <si>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</si>
  <si>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</si>
  <si>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</si>
  <si>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</si>
  <si>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</si>
  <si>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</si>
  <si>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</si>
  <si>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</si>
  <si>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</si>
  <si>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</si>
  <si>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</si>
  <si>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</si>
  <si>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</si>
  <si>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</si>
  <si>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</si>
  <si>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</si>
  <si>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</si>
  <si>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</si>
  <si>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</si>
  <si>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</si>
  <si>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</si>
  <si>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</si>
  <si>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</si>
  <si>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</si>
  <si>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</si>
  <si>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</si>
  <si>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</si>
  <si>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</si>
  <si>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</si>
  <si>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</si>
  <si>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</si>
  <si>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</si>
  <si>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</si>
  <si>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</si>
  <si>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</si>
  <si>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</si>
  <si>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</si>
  <si>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</si>
  <si>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</si>
  <si>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</si>
  <si>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</si>
  <si>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</si>
  <si>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</si>
  <si>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</si>
  <si>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Защелка магнитная, возвратная с подставкой</t>
  </si>
  <si>
    <t>Защелка магнитная, невозвратная с подставкой</t>
  </si>
  <si>
    <t>с декоративной накладкой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</si>
  <si>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</si>
  <si>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</si>
  <si>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</si>
  <si>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</si>
  <si>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</si>
  <si>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</si>
  <si>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</si>
  <si>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</si>
  <si>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</si>
  <si>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</si>
  <si>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</si>
  <si>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</si>
  <si>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</si>
  <si>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</si>
  <si>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</si>
  <si>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</si>
  <si>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</si>
  <si>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</si>
  <si>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</si>
  <si>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</si>
  <si>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</si>
  <si>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</si>
  <si>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</si>
  <si>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</si>
  <si>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</si>
  <si>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</si>
  <si>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</si>
  <si>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</si>
  <si>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</si>
  <si>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</si>
  <si>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</si>
  <si>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</si>
  <si>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</si>
  <si>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</si>
  <si>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</si>
  <si>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</si>
  <si>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четырехдверная в проем (две синхро, две статичные)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</si>
  <si>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</si>
  <si>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</si>
  <si>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</si>
  <si>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</si>
  <si>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</si>
  <si>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</si>
  <si>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</si>
  <si>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</si>
  <si>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</si>
  <si>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</si>
  <si>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</si>
  <si>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</si>
  <si>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</si>
  <si>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</si>
  <si>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</si>
  <si>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</si>
  <si>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</si>
  <si>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</si>
  <si>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</si>
  <si>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</si>
  <si>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</si>
  <si>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</si>
  <si>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</si>
  <si>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</si>
  <si>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</si>
  <si>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</si>
  <si>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</si>
  <si>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</si>
  <si>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</si>
  <si>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</si>
  <si>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</si>
  <si>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</si>
  <si>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</si>
  <si>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</si>
  <si>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FH0010.CR000</t>
  </si>
  <si>
    <t>FH0030.VS000</t>
  </si>
  <si>
    <t>FH0050.BR000</t>
  </si>
  <si>
    <t>FH0020.VP000</t>
  </si>
  <si>
    <t>FH0090.BS000</t>
  </si>
  <si>
    <t>FH0061.VP000</t>
  </si>
  <si>
    <t>FH0062.VP000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</si>
  <si>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</si>
  <si>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</si>
  <si>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</si>
  <si>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</si>
  <si>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</si>
  <si>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</si>
  <si>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</si>
  <si>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</si>
  <si>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</si>
  <si>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</si>
  <si>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</si>
  <si>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</si>
  <si>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</si>
  <si>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распашной только для шкафов-купе</t>
  </si>
  <si>
    <t>FP0000.VS000</t>
  </si>
  <si>
    <t>фиксируется на боковой поверхности профиля,
для механизма регулируемого только шлегель или уплотнитель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</si>
  <si>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</si>
  <si>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</si>
  <si>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</si>
  <si>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</si>
  <si>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</si>
  <si>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для двухдверной настенной, совместно со стационарными и четырехдверной с синхро</t>
  </si>
  <si>
    <t>FH0023.VS000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</si>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</sst>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38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5" fillId="4" borderId="8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20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6" fillId="0" borderId="6" xfId="0" applyNumberFormat="1" applyFont="1" applyBorder="1" applyAlignment="1" applyProtection="1">
      <alignment horizontal="right"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9" fontId="16" fillId="0" borderId="20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169" fontId="16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0" fillId="0" borderId="28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5" fontId="17" fillId="0" borderId="8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168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172" fontId="20" fillId="0" borderId="1" xfId="1" applyNumberFormat="1" applyFont="1" applyFill="1" applyBorder="1" applyAlignment="1" applyProtection="1">
      <alignment horizontal="center" vertical="center"/>
    </xf>
    <xf numFmtId="165" fontId="20" fillId="0" borderId="1" xfId="1" applyNumberFormat="1" applyFont="1" applyFill="1" applyBorder="1" applyAlignment="1" applyProtection="1">
      <alignment horizontal="center" vertical="center"/>
    </xf>
    <xf numFmtId="165" fontId="20" fillId="0" borderId="22" xfId="1" applyNumberFormat="1" applyFont="1" applyFill="1" applyBorder="1" applyAlignment="1" applyProtection="1">
      <alignment horizontal="center" vertical="center"/>
    </xf>
    <xf numFmtId="172" fontId="20" fillId="0" borderId="1" xfId="0" applyNumberFormat="1" applyFont="1" applyFill="1" applyBorder="1" applyAlignment="1" applyProtection="1">
      <alignment horizontal="center" vertical="center"/>
    </xf>
    <xf numFmtId="165" fontId="20" fillId="0" borderId="8" xfId="1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8" fontId="20" fillId="0" borderId="1" xfId="1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6" fontId="16" fillId="0" borderId="35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vertical="center"/>
    </xf>
    <xf numFmtId="165" fontId="20" fillId="0" borderId="2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vertical="center"/>
    </xf>
    <xf numFmtId="170" fontId="17" fillId="0" borderId="6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166" fontId="17" fillId="0" borderId="10" xfId="0" applyNumberFormat="1" applyFont="1" applyBorder="1" applyAlignment="1" applyProtection="1">
      <alignment vertical="center"/>
    </xf>
    <xf numFmtId="0" fontId="29" fillId="0" borderId="5" xfId="0" applyFont="1" applyFill="1" applyBorder="1" applyAlignment="1" applyProtection="1">
      <alignment vertical="center"/>
    </xf>
    <xf numFmtId="170" fontId="17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65" fontId="0" fillId="0" borderId="6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9" fontId="17" fillId="0" borderId="10" xfId="0" applyNumberFormat="1" applyFont="1" applyBorder="1" applyAlignment="1" applyProtection="1">
      <alignment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right" vertical="center"/>
    </xf>
    <xf numFmtId="0" fontId="20" fillId="0" borderId="26" xfId="0" applyFont="1" applyBorder="1" applyAlignment="1" applyProtection="1">
      <alignment horizontal="right" vertical="center"/>
    </xf>
    <xf numFmtId="0" fontId="20" fillId="0" borderId="25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166" fontId="17" fillId="0" borderId="36" xfId="0" applyNumberFormat="1" applyFont="1" applyBorder="1" applyAlignment="1" applyProtection="1">
      <alignment horizontal="left" vertical="center"/>
    </xf>
    <xf numFmtId="166" fontId="17" fillId="0" borderId="29" xfId="0" applyNumberFormat="1" applyFont="1" applyBorder="1" applyAlignment="1" applyProtection="1">
      <alignment horizontal="left" vertical="center"/>
    </xf>
    <xf numFmtId="166" fontId="17" fillId="0" borderId="34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0" fontId="17" fillId="0" borderId="36" xfId="0" applyFont="1" applyFill="1" applyBorder="1" applyAlignment="1" applyProtection="1">
      <alignment vertical="center"/>
    </xf>
    <xf numFmtId="0" fontId="17" fillId="0" borderId="29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7" fillId="0" borderId="36" xfId="0" applyFont="1" applyFill="1" applyBorder="1" applyAlignment="1" applyProtection="1">
      <alignment horizontal="left" vertical="center"/>
    </xf>
    <xf numFmtId="0" fontId="17" fillId="0" borderId="29" xfId="0" applyFont="1" applyFill="1" applyBorder="1" applyAlignment="1" applyProtection="1">
      <alignment horizontal="left" vertical="center"/>
    </xf>
    <xf numFmtId="0" fontId="17" fillId="0" borderId="34" xfId="0" applyFont="1" applyFill="1" applyBorder="1" applyAlignment="1" applyProtection="1">
      <alignment horizontal="left" vertical="center"/>
    </xf>
    <xf numFmtId="169" fontId="16" fillId="0" borderId="9" xfId="0" applyNumberFormat="1" applyFon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2" borderId="36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165" fontId="0" fillId="0" borderId="38" xfId="0" applyNumberForma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7" fillId="0" borderId="41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3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horizontal="left" vertical="center"/>
    </xf>
    <xf numFmtId="166" fontId="17" fillId="0" borderId="9" xfId="0" applyNumberFormat="1" applyFont="1" applyBorder="1" applyAlignment="1" applyProtection="1">
      <alignment horizontal="left" vertical="center"/>
    </xf>
    <xf numFmtId="166" fontId="17" fillId="0" borderId="37" xfId="0" applyNumberFormat="1" applyFont="1" applyBorder="1" applyAlignment="1" applyProtection="1">
      <alignment horizontal="left" vertical="center"/>
    </xf>
    <xf numFmtId="166" fontId="17" fillId="0" borderId="2" xfId="0" applyNumberFormat="1" applyFont="1" applyBorder="1" applyAlignment="1" applyProtection="1">
      <alignment horizontal="left" vertical="center"/>
    </xf>
    <xf numFmtId="166" fontId="17" fillId="0" borderId="1" xfId="0" applyNumberFormat="1" applyFont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170" fontId="17" fillId="0" borderId="35" xfId="0" applyNumberFormat="1" applyFont="1" applyBorder="1" applyAlignment="1" applyProtection="1">
      <alignment horizontal="center" vertical="center"/>
    </xf>
    <xf numFmtId="170" fontId="17" fillId="0" borderId="38" xfId="0" applyNumberFormat="1" applyFont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center" vertical="center"/>
    </xf>
    <xf numFmtId="166" fontId="17" fillId="0" borderId="7" xfId="0" applyNumberFormat="1" applyFont="1" applyBorder="1" applyAlignment="1" applyProtection="1">
      <alignment horizontal="left" vertical="center"/>
    </xf>
    <xf numFmtId="166" fontId="17" fillId="0" borderId="8" xfId="0" applyNumberFormat="1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 2" xfId="6"/>
    <cellStyle name="Обычный 4" xfId="4"/>
    <cellStyle name="Обычный 4 2" xfId="5"/>
    <cellStyle name="Обычный 7" xfId="1"/>
    <cellStyle name="Процентный 2" xfId="3"/>
  </cellStyles>
  <dxfs count="124"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b/>
        <i val="0"/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683076</xdr:colOff>
      <xdr:row>39</xdr:row>
      <xdr:rowOff>97975</xdr:rowOff>
    </xdr:from>
    <xdr:to>
      <xdr:col>1</xdr:col>
      <xdr:colOff>1989364</xdr:colOff>
      <xdr:row>51</xdr:row>
      <xdr:rowOff>114301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9" y="11865432"/>
          <a:ext cx="1306288" cy="2759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753834</xdr:colOff>
      <xdr:row>33</xdr:row>
      <xdr:rowOff>38107</xdr:rowOff>
    </xdr:from>
    <xdr:to>
      <xdr:col>1</xdr:col>
      <xdr:colOff>2053238</xdr:colOff>
      <xdr:row>44</xdr:row>
      <xdr:rowOff>227242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8" y="7592793"/>
          <a:ext cx="1299404" cy="2714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798030</xdr:colOff>
      <xdr:row>33</xdr:row>
      <xdr:rowOff>141514</xdr:rowOff>
    </xdr:from>
    <xdr:to>
      <xdr:col>1</xdr:col>
      <xdr:colOff>2056038</xdr:colOff>
      <xdr:row>44</xdr:row>
      <xdr:rowOff>197030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4" y="9111343"/>
          <a:ext cx="1258008" cy="2548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726619</xdr:colOff>
      <xdr:row>29</xdr:row>
      <xdr:rowOff>221803</xdr:rowOff>
    </xdr:from>
    <xdr:to>
      <xdr:col>1</xdr:col>
      <xdr:colOff>2035627</xdr:colOff>
      <xdr:row>42</xdr:row>
      <xdr:rowOff>97972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933" y="7341060"/>
          <a:ext cx="1309008" cy="2826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zoomScaleNormal="100" zoomScalePageLayoutView="120" workbookViewId="0">
      <selection activeCell="M7" sqref="M7"/>
    </sheetView>
  </sheetViews>
  <sheetFormatPr defaultColWidth="8.88671875" defaultRowHeight="14.4" x14ac:dyDescent="0.3"/>
  <cols>
    <col min="11" max="11" width="1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3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3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3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3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3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3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3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" thickBot="1" x14ac:dyDescent="0.35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sheetProtection algorithmName="SHA-512" hashValue="rxryRtb9WZan7X1t6Wp5WjGcrwIOlY8e/NMd9h455H2r4g+32jSdSDidKpMRri/J1L1dwAJRqmnm671oneesbg==" saltValue="IwE3/80/9n3I+II0k6yLV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AF72"/>
  <sheetViews>
    <sheetView tabSelected="1" zoomScale="70" zoomScaleNormal="70" zoomScalePageLayoutView="125" workbookViewId="0">
      <selection activeCell="C5" sqref="C5"/>
    </sheetView>
  </sheetViews>
  <sheetFormatPr defaultColWidth="8.88671875" defaultRowHeight="14.4" x14ac:dyDescent="0.3"/>
  <cols>
    <col min="1" max="1" width="1.6640625" style="12" customWidth="1"/>
    <col min="2" max="2" width="46.109375" style="12" customWidth="1"/>
    <col min="3" max="3" width="45.44140625" style="12" customWidth="1"/>
    <col min="4" max="8" width="14.6640625" style="12" customWidth="1"/>
    <col min="9" max="9" width="2.109375" style="12" customWidth="1"/>
    <col min="10" max="10" width="36.44140625" style="12" customWidth="1"/>
    <col min="11" max="11" width="15.6640625" style="12" customWidth="1"/>
    <col min="12" max="12" width="12.44140625" style="12" customWidth="1"/>
    <col min="13" max="13" width="15.109375" style="12" customWidth="1"/>
    <col min="14" max="14" width="12.33203125" style="12" customWidth="1"/>
    <col min="15" max="15" width="16.6640625" style="12" customWidth="1"/>
    <col min="16" max="16" width="1.109375" style="69" customWidth="1"/>
    <col min="17" max="17" width="8.88671875" style="12" customWidth="1"/>
    <col min="18" max="18" width="29.88671875" style="12" hidden="1" customWidth="1"/>
    <col min="19" max="24" width="8.88671875" style="12" hidden="1" customWidth="1"/>
    <col min="25" max="25" width="17.44140625" style="12" hidden="1" customWidth="1"/>
    <col min="26" max="26" width="24.6640625" style="12" hidden="1" customWidth="1"/>
    <col min="27" max="27" width="18.5546875" style="12" hidden="1" customWidth="1"/>
    <col min="28" max="32" width="8.88671875" style="12" hidden="1" customWidth="1"/>
    <col min="33" max="33" width="8.88671875" style="12" customWidth="1"/>
    <col min="34" max="16384" width="8.88671875" style="12"/>
  </cols>
  <sheetData>
    <row r="1" spans="2:28" ht="18.600000000000001" thickBot="1" x14ac:dyDescent="0.35">
      <c r="B1" s="204" t="s">
        <v>49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59"/>
    </row>
    <row r="2" spans="2:28" s="13" customFormat="1" x14ac:dyDescent="0.3">
      <c r="B2" s="261" t="s">
        <v>76</v>
      </c>
      <c r="C2" s="262"/>
      <c r="D2" s="262"/>
      <c r="E2" s="262"/>
      <c r="F2" s="262"/>
      <c r="G2" s="262"/>
      <c r="H2" s="263"/>
      <c r="I2" s="134"/>
      <c r="J2" s="269" t="s">
        <v>77</v>
      </c>
      <c r="K2" s="270"/>
      <c r="L2" s="270"/>
      <c r="M2" s="270"/>
      <c r="N2" s="270"/>
      <c r="O2" s="271"/>
      <c r="P2" s="60"/>
    </row>
    <row r="3" spans="2:28" s="16" customFormat="1" ht="15.6" x14ac:dyDescent="0.3">
      <c r="B3" s="264"/>
      <c r="C3" s="265"/>
      <c r="D3" s="14"/>
      <c r="E3" s="14"/>
      <c r="F3" s="14"/>
      <c r="G3" s="14"/>
      <c r="H3" s="15"/>
      <c r="I3" s="199"/>
      <c r="J3" s="264" t="s">
        <v>71</v>
      </c>
      <c r="K3" s="265"/>
      <c r="L3" s="14"/>
      <c r="M3" s="14"/>
      <c r="N3" s="14"/>
      <c r="O3" s="15"/>
      <c r="P3" s="14"/>
    </row>
    <row r="4" spans="2:28" ht="15.6" x14ac:dyDescent="0.3">
      <c r="B4" s="48" t="s">
        <v>5</v>
      </c>
      <c r="C4" s="178" t="s">
        <v>17</v>
      </c>
      <c r="D4" s="266" t="s">
        <v>20</v>
      </c>
      <c r="E4" s="267"/>
      <c r="F4" s="267"/>
      <c r="G4" s="267"/>
      <c r="H4" s="268"/>
      <c r="I4" s="19"/>
      <c r="J4" s="48" t="s">
        <v>0</v>
      </c>
      <c r="K4" s="178" t="s">
        <v>17</v>
      </c>
      <c r="L4" s="18"/>
      <c r="M4" s="18"/>
      <c r="N4" s="18"/>
      <c r="O4" s="25"/>
      <c r="P4" s="18"/>
      <c r="R4" s="61">
        <v>0</v>
      </c>
      <c r="Y4" s="12" t="e">
        <f>IF(C9=R52,O16*#REF!,IF(C9=R53,O16*#REF!,IF(OR(C9=R58,C9=R59),O16*#REF!,#REF!)))</f>
        <v>#REF!</v>
      </c>
      <c r="Z4" s="12" t="s">
        <v>205</v>
      </c>
      <c r="AA4" s="12" t="s">
        <v>204</v>
      </c>
      <c r="AB4" s="12">
        <f>IF(C8=Z4,9,8)</f>
        <v>8</v>
      </c>
    </row>
    <row r="5" spans="2:28" ht="20.100000000000001" customHeight="1" x14ac:dyDescent="0.3">
      <c r="B5" s="42" t="s">
        <v>93</v>
      </c>
      <c r="C5" s="23">
        <v>3150</v>
      </c>
      <c r="D5" s="225" t="str">
        <f>IF(OR(K5&gt;1200,K5&lt;600),AA15,AA16)</f>
        <v>допустимо</v>
      </c>
      <c r="E5" s="226"/>
      <c r="F5" s="226"/>
      <c r="G5" s="226"/>
      <c r="H5" s="227"/>
      <c r="I5" s="19"/>
      <c r="J5" s="49" t="s">
        <v>27</v>
      </c>
      <c r="K5" s="51">
        <f>ROUNDDOWN(IF(C10=R8,C5+39,
IF(AND(C10=R9,OR(C16=R38,C16=R39)),C5/2+39,
IF(AND(C10=R9,OR(C16=R40,C16=R41)),(C5-10)/2+39,
IF(AND(C10=R10,OR(C16=R38,C16=R39)),(C5+39)/2,
IF(AND(C10=R10,OR(C16=R40,C16=R41)),(C5-10+39)/2,
IF(AND(OR(C10=R11,C10=R15),OR(C16=R38,C16=R39)),(C5+39+39)/4,
IF(AND(OR(C10=R11,C10=R15),OR(C16=R40,C16=R41)),(C5-10+39+39)/4,
IF(AND(C10=R12,OR(C16=R38,C16=R39),C12&gt;1),(C5+53+(C12-1)*39)/C12,
IF(AND(C10=R12,OR(C16=R40,C16=R41),C12&gt;1),(C5-5+53+(C12-1)*39)/C12,
IF(AND(C10=R13,OR(C16=R38,C16=R39),C12&gt;1),(C5+(C12-1)*39)/C12,
IF(AND(C10=R13,OR(C16=R40,C16=R41),C12&gt;1),(C5-10+(C12-1)*39)/C12,
IF(AND(C10=R14,OR(C16=R38,C16=R39),C12&gt;1),(C5+39+39)/3,
IF(AND(C10=R14,OR(C16=R40,C16=R41),C12&gt;1),(C5-10+39+39)/3,0))))))))))))),0)</f>
        <v>804</v>
      </c>
      <c r="L5" s="19"/>
      <c r="M5" s="19"/>
      <c r="N5" s="19"/>
      <c r="O5" s="27"/>
      <c r="P5" s="18"/>
      <c r="R5" s="61">
        <v>1</v>
      </c>
      <c r="Y5" s="12" t="e">
        <f>IF(C9=R52,O16*#REF!,IF(C9=R53,O16*#REF!,IF(C9=R54,O16*#REF!,IF(C9=R55,O16*#REF!,O16*#REF!))))</f>
        <v>#REF!</v>
      </c>
      <c r="Z5" s="12" t="s">
        <v>206</v>
      </c>
      <c r="AA5" s="12" t="s">
        <v>149</v>
      </c>
    </row>
    <row r="6" spans="2:28" ht="20.100000000000001" customHeight="1" x14ac:dyDescent="0.3">
      <c r="B6" s="42" t="s">
        <v>94</v>
      </c>
      <c r="C6" s="23">
        <v>2600</v>
      </c>
      <c r="D6" s="225" t="str">
        <f>IF(K6&gt;3200,R18,R19)</f>
        <v>допустимо</v>
      </c>
      <c r="E6" s="226"/>
      <c r="F6" s="226"/>
      <c r="G6" s="226"/>
      <c r="H6" s="227"/>
      <c r="I6" s="19"/>
      <c r="J6" s="49" t="s">
        <v>26</v>
      </c>
      <c r="K6" s="51">
        <f>IF(OR(C10=R8,C10=R9),C6+100-60,C6-60)</f>
        <v>2540</v>
      </c>
      <c r="L6" s="18"/>
      <c r="M6" s="18"/>
      <c r="N6" s="18"/>
      <c r="O6" s="25"/>
      <c r="P6" s="18"/>
      <c r="R6" s="61">
        <v>2</v>
      </c>
    </row>
    <row r="7" spans="2:28" ht="20.100000000000001" customHeight="1" thickBot="1" x14ac:dyDescent="0.35">
      <c r="B7" s="42" t="s">
        <v>95</v>
      </c>
      <c r="C7" s="24">
        <v>0</v>
      </c>
      <c r="D7" s="218" t="s">
        <v>15</v>
      </c>
      <c r="E7" s="215"/>
      <c r="F7" s="215"/>
      <c r="G7" s="215"/>
      <c r="H7" s="219"/>
      <c r="I7" s="19"/>
      <c r="J7" s="264"/>
      <c r="K7" s="265"/>
      <c r="L7" s="265"/>
      <c r="M7" s="265"/>
      <c r="N7" s="177"/>
      <c r="O7" s="62"/>
      <c r="P7" s="14"/>
      <c r="R7" s="63"/>
    </row>
    <row r="8" spans="2:28" ht="20.100000000000001" customHeight="1" x14ac:dyDescent="0.3">
      <c r="B8" s="42" t="s">
        <v>203</v>
      </c>
      <c r="C8" s="24" t="s">
        <v>206</v>
      </c>
      <c r="D8" s="218"/>
      <c r="E8" s="215"/>
      <c r="F8" s="215"/>
      <c r="G8" s="215"/>
      <c r="H8" s="219"/>
      <c r="I8" s="19"/>
      <c r="J8" s="259" t="s">
        <v>143</v>
      </c>
      <c r="K8" s="260"/>
      <c r="L8" s="260"/>
      <c r="M8" s="260"/>
      <c r="N8" s="175"/>
      <c r="O8" s="170"/>
      <c r="P8" s="14"/>
      <c r="R8" s="64" t="s">
        <v>66</v>
      </c>
    </row>
    <row r="9" spans="2:28" ht="35.1" customHeight="1" x14ac:dyDescent="0.3">
      <c r="B9" s="42" t="s">
        <v>96</v>
      </c>
      <c r="C9" s="24" t="s">
        <v>195</v>
      </c>
      <c r="D9" s="272"/>
      <c r="E9" s="273"/>
      <c r="F9" s="273"/>
      <c r="G9" s="273"/>
      <c r="H9" s="274"/>
      <c r="I9" s="19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  <c r="P9" s="68"/>
      <c r="R9" s="64" t="s">
        <v>67</v>
      </c>
    </row>
    <row r="10" spans="2:28" ht="35.1" customHeight="1" x14ac:dyDescent="0.3">
      <c r="B10" s="65" t="s">
        <v>97</v>
      </c>
      <c r="C10" s="30" t="s">
        <v>145</v>
      </c>
      <c r="D10" s="213"/>
      <c r="E10" s="272"/>
      <c r="F10" s="272"/>
      <c r="G10" s="272"/>
      <c r="H10" s="214"/>
      <c r="I10" s="19"/>
      <c r="J10" s="50" t="s">
        <v>2</v>
      </c>
      <c r="K10" s="180" t="s">
        <v>146</v>
      </c>
      <c r="L10" s="164">
        <f>K6</f>
        <v>2540</v>
      </c>
      <c r="M10" s="165">
        <f>IF(C10=R8,2,
IF(OR(C10=R9,C10=R10,C10=R11),4,
IF(C10=R14,6,
IF(OR(C10=R12,C10=R13),C12*2,
IF(C10=R15,8,0)))))</f>
        <v>8</v>
      </c>
      <c r="N10" s="164"/>
      <c r="O10" s="200">
        <f>IF(L10&gt;2650,M10,M10/2)</f>
        <v>4</v>
      </c>
      <c r="P10" s="68"/>
      <c r="R10" s="64" t="s">
        <v>68</v>
      </c>
    </row>
    <row r="11" spans="2:28" ht="35.1" customHeight="1" x14ac:dyDescent="0.3">
      <c r="B11" s="65" t="s">
        <v>98</v>
      </c>
      <c r="C11" s="36">
        <f>IF(OR(C10=R10,C10=R11,C10=R9),2,IF(OR(C10=R12,C10=R13),C12,IF(C10=R14,3,IF(C10=R15,4,1))))</f>
        <v>4</v>
      </c>
      <c r="D11" s="215" t="s">
        <v>90</v>
      </c>
      <c r="E11" s="216"/>
      <c r="F11" s="216"/>
      <c r="G11" s="216"/>
      <c r="H11" s="217"/>
      <c r="I11" s="19"/>
      <c r="J11" s="50" t="s">
        <v>6</v>
      </c>
      <c r="K11" s="172" t="s">
        <v>150</v>
      </c>
      <c r="L11" s="164">
        <f>IF(C10=R8,C5+K5-52,
IF(C10=R9,C5+K5*2-104,
IF(OR(C10=R10,C10=R11,C10=R13,C10=R14,C10=R15),C5,
IF(C10=R12,C5+K5-39,0))))</f>
        <v>3150</v>
      </c>
      <c r="M11" s="165">
        <f>IF(C10=R10,2,
IF(C10=R14,2,
IF(OR(C10=R8,C10=R9,C10=R11),1,
IF(OR(C10=R12,C10=R13),C12,
IF(C10=R15,2,0)))))</f>
        <v>2</v>
      </c>
      <c r="N11" s="164">
        <f>L11*M11</f>
        <v>6300</v>
      </c>
      <c r="O11" s="200">
        <f>CEILING((L11*M11)/5000,1)</f>
        <v>2</v>
      </c>
      <c r="P11" s="68"/>
      <c r="Q11" s="69"/>
      <c r="R11" s="64" t="s">
        <v>109</v>
      </c>
    </row>
    <row r="12" spans="2:28" ht="35.1" customHeight="1" x14ac:dyDescent="0.3">
      <c r="B12" s="65" t="s">
        <v>98</v>
      </c>
      <c r="C12" s="24">
        <v>4</v>
      </c>
      <c r="D12" s="210" t="s">
        <v>119</v>
      </c>
      <c r="E12" s="211"/>
      <c r="F12" s="211"/>
      <c r="G12" s="211"/>
      <c r="H12" s="212"/>
      <c r="I12" s="19"/>
      <c r="J12" s="185" t="s">
        <v>7</v>
      </c>
      <c r="K12" s="180" t="s">
        <v>151</v>
      </c>
      <c r="L12" s="160">
        <f>IF(OR(C10=R8,C10=R9),38,0)</f>
        <v>0</v>
      </c>
      <c r="M12" s="165">
        <f>IF(OR(C10=R8,C10=R9),2,0)</f>
        <v>0</v>
      </c>
      <c r="N12" s="249">
        <f>L13*M13+L12*M12</f>
        <v>6300</v>
      </c>
      <c r="O12" s="257">
        <f>CEILING((L13*M13+L12*M12)/5000,1)</f>
        <v>2</v>
      </c>
      <c r="P12" s="68"/>
      <c r="R12" s="64" t="s">
        <v>78</v>
      </c>
    </row>
    <row r="13" spans="2:28" ht="34.5" customHeight="1" x14ac:dyDescent="0.3">
      <c r="B13" s="70" t="s">
        <v>99</v>
      </c>
      <c r="C13" s="29" t="s">
        <v>56</v>
      </c>
      <c r="D13" s="210" t="s">
        <v>119</v>
      </c>
      <c r="E13" s="211"/>
      <c r="F13" s="211"/>
      <c r="G13" s="211"/>
      <c r="H13" s="212"/>
      <c r="I13" s="19"/>
      <c r="J13" s="185" t="s">
        <v>7</v>
      </c>
      <c r="K13" s="180" t="s">
        <v>151</v>
      </c>
      <c r="L13" s="161">
        <f>IF(OR(C10=R8,C10=R9),L11+8,
IF(OR(C10=R10,C10=R11,C10=R12,C10=R13,C10=R14,C10=R15),L11,0))</f>
        <v>3150</v>
      </c>
      <c r="M13" s="162">
        <f>IF(OR(C10=R8,C10=R9,C10=R11,C10=R12),1,
IF(OR(C10=R10,C10=R13,C10=R15),2,
IF(C10=R14,1,0)))</f>
        <v>2</v>
      </c>
      <c r="N13" s="250"/>
      <c r="O13" s="258"/>
      <c r="P13" s="68"/>
      <c r="R13" s="64" t="s">
        <v>105</v>
      </c>
    </row>
    <row r="14" spans="2:28" ht="34.5" customHeight="1" x14ac:dyDescent="0.3">
      <c r="B14" s="71" t="s">
        <v>210</v>
      </c>
      <c r="C14" s="29" t="s">
        <v>70</v>
      </c>
      <c r="D14" s="210"/>
      <c r="E14" s="211"/>
      <c r="F14" s="211"/>
      <c r="G14" s="211"/>
      <c r="H14" s="212"/>
      <c r="I14" s="19"/>
      <c r="J14" s="50" t="s">
        <v>3</v>
      </c>
      <c r="K14" s="180" t="s">
        <v>147</v>
      </c>
      <c r="L14" s="164">
        <f>K5-78</f>
        <v>726</v>
      </c>
      <c r="M14" s="165">
        <f>C11</f>
        <v>4</v>
      </c>
      <c r="N14" s="164">
        <f>L14*M14</f>
        <v>2904</v>
      </c>
      <c r="O14" s="200">
        <f>CEILING((L14*M14)/5000,1)</f>
        <v>1</v>
      </c>
      <c r="P14" s="68"/>
      <c r="R14" s="64" t="s">
        <v>144</v>
      </c>
    </row>
    <row r="15" spans="2:28" ht="44.25" customHeight="1" x14ac:dyDescent="0.3">
      <c r="B15" s="72" t="s">
        <v>31</v>
      </c>
      <c r="C15" s="29" t="s">
        <v>70</v>
      </c>
      <c r="D15" s="223" t="s">
        <v>208</v>
      </c>
      <c r="E15" s="210"/>
      <c r="F15" s="210"/>
      <c r="G15" s="210"/>
      <c r="H15" s="224"/>
      <c r="I15" s="19"/>
      <c r="J15" s="50" t="s">
        <v>4</v>
      </c>
      <c r="K15" s="180" t="s">
        <v>148</v>
      </c>
      <c r="L15" s="164">
        <f>K5-78</f>
        <v>726</v>
      </c>
      <c r="M15" s="165">
        <f>C11</f>
        <v>4</v>
      </c>
      <c r="N15" s="164">
        <f>L15*M15</f>
        <v>2904</v>
      </c>
      <c r="O15" s="200">
        <f>CEILING((L15*M15)/5000,1)</f>
        <v>1</v>
      </c>
      <c r="P15" s="68"/>
      <c r="R15" s="12" t="s">
        <v>145</v>
      </c>
      <c r="AA15" s="12" t="s">
        <v>135</v>
      </c>
    </row>
    <row r="16" spans="2:28" ht="35.1" customHeight="1" x14ac:dyDescent="0.3">
      <c r="B16" s="73" t="s">
        <v>110</v>
      </c>
      <c r="C16" s="29" t="s">
        <v>104</v>
      </c>
      <c r="D16" s="218" t="s">
        <v>129</v>
      </c>
      <c r="E16" s="218"/>
      <c r="F16" s="218"/>
      <c r="G16" s="218"/>
      <c r="H16" s="219"/>
      <c r="I16" s="19"/>
      <c r="J16" s="167" t="str">
        <f>C8</f>
        <v>Рамка средняя 4в1</v>
      </c>
      <c r="K16" s="180" t="str">
        <f>IF(J16=Z4,AA4,AA5)</f>
        <v>FA0412.VP500</v>
      </c>
      <c r="L16" s="164">
        <f>IF(AND(C8=Z5,C7&gt;0),K5-78,IF(AND(C8=Z4,C7&gt;0),K5-76,0))</f>
        <v>0</v>
      </c>
      <c r="M16" s="165">
        <f>M15*C7</f>
        <v>0</v>
      </c>
      <c r="N16" s="164">
        <f>L16*M16</f>
        <v>0</v>
      </c>
      <c r="O16" s="200">
        <f>IF(L16="нет",0,CEILING((L16*M16)/5000,1))</f>
        <v>0</v>
      </c>
      <c r="P16" s="68"/>
      <c r="AA16" s="12" t="s">
        <v>136</v>
      </c>
    </row>
    <row r="17" spans="2:18" ht="35.1" customHeight="1" thickBot="1" x14ac:dyDescent="0.35">
      <c r="B17" s="72" t="s">
        <v>100</v>
      </c>
      <c r="C17" s="29" t="s">
        <v>70</v>
      </c>
      <c r="D17" s="213"/>
      <c r="E17" s="213"/>
      <c r="F17" s="213"/>
      <c r="G17" s="213"/>
      <c r="H17" s="214"/>
      <c r="I17" s="19"/>
      <c r="J17" s="220"/>
      <c r="K17" s="221"/>
      <c r="L17" s="221"/>
      <c r="M17" s="221"/>
      <c r="N17" s="221"/>
      <c r="O17" s="222"/>
      <c r="P17" s="68"/>
    </row>
    <row r="18" spans="2:18" ht="35.1" customHeight="1" x14ac:dyDescent="0.3">
      <c r="B18" s="72" t="s">
        <v>121</v>
      </c>
      <c r="C18" s="38" t="s">
        <v>70</v>
      </c>
      <c r="D18" s="218" t="str">
        <f>IF((K5&gt;=650),R72,R71)</f>
        <v>допустимо</v>
      </c>
      <c r="E18" s="218"/>
      <c r="F18" s="218"/>
      <c r="G18" s="218"/>
      <c r="H18" s="219"/>
      <c r="I18" s="19"/>
      <c r="J18" s="26"/>
      <c r="K18" s="19"/>
      <c r="L18" s="19"/>
      <c r="M18" s="19"/>
      <c r="N18" s="19"/>
      <c r="O18" s="27"/>
      <c r="P18" s="68"/>
      <c r="R18" s="12" t="s">
        <v>139</v>
      </c>
    </row>
    <row r="19" spans="2:18" ht="35.1" customHeight="1" x14ac:dyDescent="0.3">
      <c r="B19" s="74" t="s">
        <v>127</v>
      </c>
      <c r="C19" s="38">
        <v>0</v>
      </c>
      <c r="D19" s="218" t="s">
        <v>120</v>
      </c>
      <c r="E19" s="218"/>
      <c r="F19" s="218"/>
      <c r="G19" s="218"/>
      <c r="H19" s="219"/>
      <c r="I19" s="19"/>
      <c r="J19" s="26"/>
      <c r="K19" s="19"/>
      <c r="L19" s="19"/>
      <c r="M19" s="19"/>
      <c r="N19" s="19"/>
      <c r="O19" s="27"/>
      <c r="P19" s="68"/>
      <c r="R19" s="12" t="s">
        <v>136</v>
      </c>
    </row>
    <row r="20" spans="2:18" ht="35.1" customHeight="1" x14ac:dyDescent="0.3">
      <c r="B20" s="72" t="s">
        <v>117</v>
      </c>
      <c r="C20" s="38" t="s">
        <v>70</v>
      </c>
      <c r="D20" s="215" t="str">
        <f>IF(OR(C10=R8,C10=R10,C10=R12,C10=R13,C10=R14),"невозможно установить","допустимо")</f>
        <v>допустимо</v>
      </c>
      <c r="E20" s="216"/>
      <c r="F20" s="216"/>
      <c r="G20" s="216"/>
      <c r="H20" s="217"/>
      <c r="I20" s="19"/>
      <c r="J20" s="26"/>
      <c r="K20" s="19"/>
      <c r="L20" s="19"/>
      <c r="M20" s="19"/>
      <c r="N20" s="19"/>
      <c r="O20" s="27"/>
      <c r="P20" s="68"/>
    </row>
    <row r="21" spans="2:18" ht="22.5" customHeight="1" thickBot="1" x14ac:dyDescent="0.35">
      <c r="B21" s="75" t="s">
        <v>118</v>
      </c>
      <c r="C21" s="37" t="s">
        <v>70</v>
      </c>
      <c r="D21" s="207" t="str">
        <f>IF(OR(C10=R8,C10=R9,C10=R11,C10=R15),"невозможно установить",IF(C10=R12,"допустимо с механизмом синхронного последовательного открывания","допустимо"))</f>
        <v>невозможно установить</v>
      </c>
      <c r="E21" s="208"/>
      <c r="F21" s="208"/>
      <c r="G21" s="208"/>
      <c r="H21" s="209"/>
      <c r="I21" s="19"/>
      <c r="J21" s="176" t="s">
        <v>142</v>
      </c>
      <c r="K21" s="177"/>
      <c r="L21" s="177"/>
      <c r="M21" s="19"/>
      <c r="N21" s="19"/>
      <c r="O21" s="27"/>
      <c r="P21" s="68"/>
      <c r="R21" s="12" t="s">
        <v>55</v>
      </c>
    </row>
    <row r="22" spans="2:18" ht="35.1" customHeight="1" x14ac:dyDescent="0.3">
      <c r="B22" s="26"/>
      <c r="C22" s="19"/>
      <c r="D22" s="19"/>
      <c r="E22" s="19"/>
      <c r="F22" s="201"/>
      <c r="G22" s="19"/>
      <c r="H22" s="19"/>
      <c r="I22" s="19"/>
      <c r="J22" s="254" t="s">
        <v>0</v>
      </c>
      <c r="K22" s="255"/>
      <c r="L22" s="256"/>
      <c r="M22" s="178" t="s">
        <v>1</v>
      </c>
      <c r="N22" s="178" t="s">
        <v>10</v>
      </c>
      <c r="O22" s="27"/>
      <c r="P22" s="68"/>
      <c r="R22" s="12" t="s">
        <v>56</v>
      </c>
    </row>
    <row r="23" spans="2:18" ht="15.6" x14ac:dyDescent="0.3">
      <c r="B23" s="176" t="s">
        <v>28</v>
      </c>
      <c r="C23" s="76"/>
      <c r="D23" s="275"/>
      <c r="E23" s="275"/>
      <c r="F23" s="275"/>
      <c r="G23" s="275"/>
      <c r="H23" s="275"/>
      <c r="I23" s="19"/>
      <c r="J23" s="242" t="s">
        <v>112</v>
      </c>
      <c r="K23" s="243"/>
      <c r="L23" s="244"/>
      <c r="M23" s="174" t="s">
        <v>180</v>
      </c>
      <c r="N23" s="163">
        <f>C11</f>
        <v>4</v>
      </c>
      <c r="O23" s="27"/>
      <c r="P23" s="68"/>
    </row>
    <row r="24" spans="2:18" ht="15.6" x14ac:dyDescent="0.3">
      <c r="B24" s="228" t="s">
        <v>113</v>
      </c>
      <c r="C24" s="229"/>
      <c r="D24" s="229"/>
      <c r="E24" s="229"/>
      <c r="F24" s="229"/>
      <c r="G24" s="229"/>
      <c r="H24" s="229"/>
      <c r="I24" s="19"/>
      <c r="J24" s="242" t="s">
        <v>44</v>
      </c>
      <c r="K24" s="243"/>
      <c r="L24" s="244"/>
      <c r="M24" s="174" t="s">
        <v>181</v>
      </c>
      <c r="N24" s="163">
        <f>IF(OR(C10=R8,C10=R9,C10=R10,C10=R11),N23,
IF(AND(C10=R12,C12&gt;1),1,
IF(AND(C10=R13,C12&gt;1),3,
IF(C10=R14,3,
IF(C10=R15,6,0)))))</f>
        <v>6</v>
      </c>
      <c r="O24" s="27"/>
      <c r="P24" s="68"/>
    </row>
    <row r="25" spans="2:18" ht="15.6" x14ac:dyDescent="0.3">
      <c r="B25" s="228"/>
      <c r="C25" s="229"/>
      <c r="D25" s="229"/>
      <c r="E25" s="229"/>
      <c r="F25" s="229"/>
      <c r="G25" s="229"/>
      <c r="H25" s="229"/>
      <c r="I25" s="19"/>
      <c r="J25" s="245" t="s">
        <v>46</v>
      </c>
      <c r="K25" s="246"/>
      <c r="L25" s="247"/>
      <c r="M25" s="186" t="s">
        <v>182</v>
      </c>
      <c r="N25" s="163">
        <f>IF(OR(C10=R8,C10=R10,C10=R14),ROUNDUP((N23*2-N31)/2,0),
IF(AND(N31=0,OR(C10=R9,C10=R11)),2,
IF(AND(N31=0,C10=R15),3,
IF(AND(C15=R25,OR(C10=R9,C10=R11)),0,
IF(AND(C15=R25,C10=R15),1,
IF(AND(C15=R26,OR(C10=R9,C10=R11)),ROUNDUP((N23*2-N31)/2,0),
IF(AND(C15=R26,C10=R15),ROUNDUP(((N23-2)*2-N31)/2+1,0),
IF(OR(AND(C14=R25,OR(C10=R13,C10=R12),N31=0),AND(C14=R26,OR(C10=R13,C10=R12),N31&lt;&gt;0),AND(C14=R26,OR(C10=R13,C10=R12),N31=0)),1,0))))))))</f>
        <v>3</v>
      </c>
      <c r="O25" s="27"/>
      <c r="P25" s="68"/>
      <c r="R25" s="12" t="s">
        <v>69</v>
      </c>
    </row>
    <row r="26" spans="2:18" ht="15.6" x14ac:dyDescent="0.3">
      <c r="B26" s="228"/>
      <c r="C26" s="229"/>
      <c r="D26" s="229"/>
      <c r="E26" s="229"/>
      <c r="F26" s="229"/>
      <c r="G26" s="229"/>
      <c r="H26" s="229"/>
      <c r="I26" s="19"/>
      <c r="J26" s="239" t="s">
        <v>47</v>
      </c>
      <c r="K26" s="240"/>
      <c r="L26" s="241"/>
      <c r="M26" s="171" t="s">
        <v>194</v>
      </c>
      <c r="N26" s="148">
        <f>IF(OR(C10=R8,C10=R10,C10=R14),N31,
IF(AND(N31&lt;&gt;0,C15=R25,OR(C10=R9,C10=R11,C10=R15)),4,
IF(AND(N31&lt;&gt;0,C15=R26,OR(C10=R9,C10=R11,C10=R15)),N31,
IF(AND(C14=R25,C10=R12,N31&lt;&gt;0),2,
IF(AND(C14=R26,C10=R12,N31&lt;&gt;0),N31,
IF(AND(C14=R25,C10=R13,N31&lt;&gt;0),3,
IF(AND(C14=R26,C10=R13,N31&lt;&gt;0),N31+1,
IF(AND(OR(C14=R26,C14=R25),C10=R13,N31=0),1,0))))))))</f>
        <v>0</v>
      </c>
      <c r="O26" s="27"/>
      <c r="P26" s="68"/>
      <c r="R26" s="12" t="s">
        <v>70</v>
      </c>
    </row>
    <row r="27" spans="2:18" ht="15.6" x14ac:dyDescent="0.3">
      <c r="B27" s="26"/>
      <c r="C27" s="19"/>
      <c r="D27" s="19"/>
      <c r="E27" s="19"/>
      <c r="F27" s="19"/>
      <c r="G27" s="19"/>
      <c r="H27" s="19"/>
      <c r="I27" s="19"/>
      <c r="J27" s="242" t="s">
        <v>31</v>
      </c>
      <c r="K27" s="243"/>
      <c r="L27" s="244"/>
      <c r="M27" s="174" t="s">
        <v>184</v>
      </c>
      <c r="N27" s="150">
        <f>IF(OR(AND(C10=R11,C15=R25),AND(C10=R9,C15=R25),AND(C10=R15,C15=R25)),1,0)</f>
        <v>0</v>
      </c>
      <c r="O27" s="27"/>
      <c r="P27" s="68"/>
    </row>
    <row r="28" spans="2:18" ht="18.600000000000001" thickBot="1" x14ac:dyDescent="0.35">
      <c r="B28" s="192" t="s">
        <v>114</v>
      </c>
      <c r="C28" s="193"/>
      <c r="D28" s="193"/>
      <c r="E28" s="193"/>
      <c r="F28" s="193"/>
      <c r="G28" s="193"/>
      <c r="H28" s="193"/>
      <c r="I28" s="19"/>
      <c r="J28" s="236" t="s">
        <v>210</v>
      </c>
      <c r="K28" s="237"/>
      <c r="L28" s="238"/>
      <c r="M28" s="174" t="s">
        <v>209</v>
      </c>
      <c r="N28" s="150">
        <f>IF(C14=R26,0,IF(C10=R12,C12-1,IF(C10=R13,C12-2,0)))</f>
        <v>0</v>
      </c>
      <c r="O28" s="27"/>
      <c r="P28" s="68"/>
    </row>
    <row r="29" spans="2:18" ht="18.600000000000001" thickBot="1" x14ac:dyDescent="0.35">
      <c r="B29" s="78"/>
      <c r="C29" s="79"/>
      <c r="D29" s="79"/>
      <c r="E29" s="79"/>
      <c r="F29" s="79"/>
      <c r="G29" s="79"/>
      <c r="H29" s="80"/>
      <c r="I29" s="19"/>
      <c r="J29" s="236" t="s">
        <v>30</v>
      </c>
      <c r="K29" s="237"/>
      <c r="L29" s="238"/>
      <c r="M29" s="174" t="s">
        <v>185</v>
      </c>
      <c r="N29" s="150">
        <f>IF(AND(C10=R12,C13=R21),C12-1,
IF(AND(C10=R13,C13=R21),C12-2,0))</f>
        <v>0</v>
      </c>
      <c r="O29" s="27"/>
      <c r="P29" s="68"/>
      <c r="R29" s="85" t="s">
        <v>12</v>
      </c>
    </row>
    <row r="30" spans="2:18" ht="18.600000000000001" thickBot="1" x14ac:dyDescent="0.4">
      <c r="B30" s="81" t="s">
        <v>79</v>
      </c>
      <c r="C30" s="82">
        <f>C7+1</f>
        <v>1</v>
      </c>
      <c r="D30" s="83" t="str">
        <f>IF(C30&gt;5,R35,R36)</f>
        <v xml:space="preserve"> </v>
      </c>
      <c r="E30" s="183"/>
      <c r="F30" s="183"/>
      <c r="G30" s="183"/>
      <c r="H30" s="84"/>
      <c r="I30" s="19"/>
      <c r="J30" s="236" t="s">
        <v>36</v>
      </c>
      <c r="K30" s="237"/>
      <c r="L30" s="238"/>
      <c r="M30" s="174" t="s">
        <v>186</v>
      </c>
      <c r="N30" s="150">
        <f>IF(AND(C10=R12,C13=R22),C12-1,
IF(AND(C10=R13,C13=R22),C12-2,0))</f>
        <v>0</v>
      </c>
      <c r="O30" s="27"/>
      <c r="P30" s="68"/>
      <c r="R30" s="85" t="s">
        <v>13</v>
      </c>
    </row>
    <row r="31" spans="2:18" ht="18" x14ac:dyDescent="0.3">
      <c r="B31" s="86"/>
      <c r="C31" s="87"/>
      <c r="D31" s="87"/>
      <c r="E31" s="87"/>
      <c r="F31" s="87"/>
      <c r="G31" s="87"/>
      <c r="H31" s="88"/>
      <c r="I31" s="19"/>
      <c r="J31" s="239" t="s">
        <v>34</v>
      </c>
      <c r="K31" s="240"/>
      <c r="L31" s="241"/>
      <c r="M31" s="186" t="s">
        <v>188</v>
      </c>
      <c r="N31" s="150">
        <f>IF(OR(D18=R71,C18="нет"),0,
IF(AND(C10=R8,K5&gt;=900),2,
IF(AND(C10=R8,K5&gt;=650,K5&lt;900),1,
IF(AND(C15=R26,OR(C10=R9,C10=R11,C10=R15),K5&gt;=900),4,
IF(AND(C15=R26,OR(C10=R9,C10=R11,C10=R15),K5&lt;900),2,
IF(AND(C15=R25,OR(C10=R9,C10=R11,C10=R15)),2,
IF(AND(C10=R10,K5&gt;=900),4,
IF(AND(C10=R10,K5&gt;=650,K5&lt;900),2,
IF(AND(C10=R14,K5&gt;=900),6,
IF(AND(C10=R14,K5&gt;=650,K5&lt;900),3,
IF(C10=R12,C11,
IF(C10=R13,C11-1,0))))))))))))</f>
        <v>0</v>
      </c>
      <c r="O31" s="27"/>
      <c r="P31" s="68"/>
      <c r="R31" s="85" t="s">
        <v>14</v>
      </c>
    </row>
    <row r="32" spans="2:18" ht="18" x14ac:dyDescent="0.3">
      <c r="B32" s="86"/>
      <c r="C32" s="87"/>
      <c r="D32" s="87"/>
      <c r="E32" s="87"/>
      <c r="F32" s="87"/>
      <c r="G32" s="87"/>
      <c r="H32" s="88"/>
      <c r="I32" s="19"/>
      <c r="J32" s="252" t="s">
        <v>189</v>
      </c>
      <c r="K32" s="253"/>
      <c r="L32" s="253"/>
      <c r="M32" s="174" t="s">
        <v>154</v>
      </c>
      <c r="N32" s="150">
        <f>M14*2+M15*2+M16*2</f>
        <v>16</v>
      </c>
      <c r="O32" s="27"/>
      <c r="P32" s="68"/>
    </row>
    <row r="33" spans="2:18" ht="18" x14ac:dyDescent="0.3">
      <c r="B33" s="89" t="s">
        <v>80</v>
      </c>
      <c r="C33" s="182" t="s">
        <v>81</v>
      </c>
      <c r="D33" s="90" t="s">
        <v>50</v>
      </c>
      <c r="E33" s="182" t="s">
        <v>82</v>
      </c>
      <c r="F33" s="182" t="s">
        <v>83</v>
      </c>
      <c r="G33" s="182" t="s">
        <v>102</v>
      </c>
      <c r="H33" s="91" t="s">
        <v>103</v>
      </c>
      <c r="I33" s="19"/>
      <c r="J33" s="242" t="s">
        <v>42</v>
      </c>
      <c r="K33" s="243"/>
      <c r="L33" s="244"/>
      <c r="M33" s="174" t="s">
        <v>183</v>
      </c>
      <c r="N33" s="153">
        <f>IF(OR(C10=R8,C10=R9),ROUNDUP(L11/500+1,0),0)</f>
        <v>0</v>
      </c>
      <c r="O33" s="27"/>
      <c r="P33" s="19"/>
    </row>
    <row r="34" spans="2:18" ht="18" x14ac:dyDescent="0.3">
      <c r="B34" s="92" t="s">
        <v>84</v>
      </c>
      <c r="C34" s="33" t="s">
        <v>14</v>
      </c>
      <c r="D34" s="114">
        <v>0</v>
      </c>
      <c r="E34" s="34">
        <f>K6-IF(E38=0,0,IF(C38=R29,E38,IF(C38=R30,E38+2,E38+3)))-IF(E37=0,0,IF(C37=R29,E37,IF(C37=R30,E37+2,E37+3)))-IF(E36=0,0,IF(C36=R29,E36,IF(C36=R30,E36+2,E36+3)))-IF(E35=0,0,IF(C35=R29,E35,IF(C35=R30,E35+2,E35+3)))-44-IF(C34=R30,2,IF(C34=R31,3,0))-C7*AB4</f>
        <v>2493</v>
      </c>
      <c r="F34" s="93">
        <f>IF(C34=$R$31,$K$5-63,IF(C34=$R$30,$K$5-62,$K$5-60))</f>
        <v>741</v>
      </c>
      <c r="G34" s="94">
        <f>$C$11</f>
        <v>4</v>
      </c>
      <c r="H34" s="95">
        <f>E34*F34*D34*G34/1000000</f>
        <v>0</v>
      </c>
      <c r="I34" s="194">
        <f>IF(E34&lt;&gt;0,1,0)</f>
        <v>1</v>
      </c>
      <c r="J34" s="242" t="s">
        <v>179</v>
      </c>
      <c r="K34" s="243"/>
      <c r="L34" s="244"/>
      <c r="M34" s="174" t="s">
        <v>178</v>
      </c>
      <c r="N34" s="150">
        <f>IF(OR(C10=R8,C10=R9),2,0)</f>
        <v>0</v>
      </c>
      <c r="O34" s="27"/>
      <c r="P34" s="68"/>
    </row>
    <row r="35" spans="2:18" ht="18" x14ac:dyDescent="0.3">
      <c r="B35" s="92" t="s">
        <v>85</v>
      </c>
      <c r="C35" s="33" t="s">
        <v>14</v>
      </c>
      <c r="D35" s="114">
        <v>0</v>
      </c>
      <c r="E35" s="35">
        <v>0</v>
      </c>
      <c r="F35" s="93">
        <f>IF(C35=$R$31,$K$5-63,IF(C35=$R$30,$K$5-62,$K$5-60))</f>
        <v>741</v>
      </c>
      <c r="G35" s="94">
        <f>IF(E35&lt;&gt;0,$C$11,0)</f>
        <v>0</v>
      </c>
      <c r="H35" s="95">
        <f t="shared" ref="H35:H38" si="0">E35*F35*D35*G35/1000000</f>
        <v>0</v>
      </c>
      <c r="I35" s="194">
        <f>IF(E35&lt;&gt;0,1,0)</f>
        <v>0</v>
      </c>
      <c r="J35" s="236" t="s">
        <v>53</v>
      </c>
      <c r="K35" s="237"/>
      <c r="L35" s="238"/>
      <c r="M35" s="174" t="s">
        <v>155</v>
      </c>
      <c r="N35" s="155">
        <f>ROUNDUP((IF(C34=R30,(E34+F34)*2*G34,0)+IF(C35=R30,(E35+F35)*2*G35,0)+IF(C36=R30,(E36+F36)*2*G36,0)+IF(C37=R30,(E37+F37)*2*G37,0)+IF(C38=R30,(E38+F38)*2*G38,0))/1000,0)</f>
        <v>0</v>
      </c>
      <c r="O35" s="27"/>
      <c r="P35" s="68"/>
      <c r="R35" s="98" t="s">
        <v>89</v>
      </c>
    </row>
    <row r="36" spans="2:18" ht="18" x14ac:dyDescent="0.3">
      <c r="B36" s="92" t="s">
        <v>86</v>
      </c>
      <c r="C36" s="33" t="s">
        <v>14</v>
      </c>
      <c r="D36" s="114">
        <v>0</v>
      </c>
      <c r="E36" s="35">
        <v>0</v>
      </c>
      <c r="F36" s="93">
        <f>IF(C36=$R$31,$K$5-63,IF(C36=$R$30,$K$5-62,$K$5-60))</f>
        <v>741</v>
      </c>
      <c r="G36" s="94">
        <f>IF(E36&lt;&gt;0,$C$11,0)</f>
        <v>0</v>
      </c>
      <c r="H36" s="95">
        <f t="shared" si="0"/>
        <v>0</v>
      </c>
      <c r="I36" s="194">
        <f>IF(E36&lt;&gt;0,1,0)</f>
        <v>0</v>
      </c>
      <c r="J36" s="236" t="s">
        <v>54</v>
      </c>
      <c r="K36" s="237"/>
      <c r="L36" s="238"/>
      <c r="M36" s="174" t="s">
        <v>156</v>
      </c>
      <c r="N36" s="155">
        <f>ROUNDUP((IF(C34=R31,(E34+F34)*2*G34,0)+IF(C35=R31,(E35+F35)*2*G35,0)+IF(C36=R31,(E36+F36)*2*G36,0)+IF(C37=R31,(E37+F37)*2*G37,0)+IF(C38=R31,(E38+F38)*2*G38,0))/1000,0)</f>
        <v>26</v>
      </c>
      <c r="O36" s="27"/>
      <c r="P36" s="68"/>
      <c r="R36" s="98" t="s">
        <v>65</v>
      </c>
    </row>
    <row r="37" spans="2:18" ht="18" x14ac:dyDescent="0.3">
      <c r="B37" s="92" t="s">
        <v>87</v>
      </c>
      <c r="C37" s="33" t="s">
        <v>14</v>
      </c>
      <c r="D37" s="114">
        <v>0</v>
      </c>
      <c r="E37" s="35">
        <v>0</v>
      </c>
      <c r="F37" s="93">
        <f>IF(C37=$R$31,$K$5-63,IF(C37=$R$30,$K$5-62,$K$5-60))</f>
        <v>741</v>
      </c>
      <c r="G37" s="94">
        <f>IF(E37&lt;&gt;0,$C$11,0)</f>
        <v>0</v>
      </c>
      <c r="H37" s="95">
        <f t="shared" si="0"/>
        <v>0</v>
      </c>
      <c r="I37" s="194">
        <f>IF(E37&lt;&gt;0,1,0)</f>
        <v>0</v>
      </c>
      <c r="J37" s="236" t="s">
        <v>100</v>
      </c>
      <c r="K37" s="237"/>
      <c r="L37" s="238"/>
      <c r="M37" s="174" t="s">
        <v>187</v>
      </c>
      <c r="N37" s="150">
        <f>IF(AND(C17=R25,OR(C10=R12,C10=R8,C10=R13)),1,IF(AND(OR(C10=R10,C10=R9,C10=R11,C10=R15),C17=R25),2,IF(AND(C10=R14,C17=R25),3,0)))</f>
        <v>0</v>
      </c>
      <c r="O37" s="27"/>
      <c r="P37" s="68"/>
    </row>
    <row r="38" spans="2:18" ht="18.600000000000001" thickBot="1" x14ac:dyDescent="0.35">
      <c r="B38" s="99" t="s">
        <v>88</v>
      </c>
      <c r="C38" s="33" t="s">
        <v>14</v>
      </c>
      <c r="D38" s="114">
        <v>0</v>
      </c>
      <c r="E38" s="35">
        <v>0</v>
      </c>
      <c r="F38" s="93">
        <f>IF(C38=$R$31,$K$5-63,IF(C38=$R$30,$K$5-62,$K$5-60))</f>
        <v>741</v>
      </c>
      <c r="G38" s="94">
        <f>IF(E38&lt;&gt;0,$C$11,0)</f>
        <v>0</v>
      </c>
      <c r="H38" s="95">
        <f t="shared" si="0"/>
        <v>0</v>
      </c>
      <c r="I38" s="194">
        <f>IF(E38&lt;&gt;0,1,0)</f>
        <v>0</v>
      </c>
      <c r="J38" s="236" t="s">
        <v>52</v>
      </c>
      <c r="K38" s="237"/>
      <c r="L38" s="238"/>
      <c r="M38" s="174" t="s">
        <v>157</v>
      </c>
      <c r="N38" s="150">
        <f>IF(C16=R38,N32,0)</f>
        <v>0</v>
      </c>
      <c r="O38" s="27"/>
      <c r="P38" s="18"/>
      <c r="R38" s="12" t="s">
        <v>52</v>
      </c>
    </row>
    <row r="39" spans="2:18" ht="18.600000000000001" thickBot="1" x14ac:dyDescent="0.35">
      <c r="B39" s="86"/>
      <c r="C39" s="87"/>
      <c r="D39" s="87"/>
      <c r="E39" s="233" t="s">
        <v>51</v>
      </c>
      <c r="F39" s="234"/>
      <c r="G39" s="235"/>
      <c r="H39" s="100">
        <f>SUM(H34:H38)</f>
        <v>0</v>
      </c>
      <c r="I39" s="19"/>
      <c r="J39" s="236" t="s">
        <v>122</v>
      </c>
      <c r="K39" s="237"/>
      <c r="L39" s="238"/>
      <c r="M39" s="157" t="s">
        <v>158</v>
      </c>
      <c r="N39" s="189">
        <f>IF(C16=R39,N32,0)</f>
        <v>0</v>
      </c>
      <c r="O39" s="27"/>
      <c r="P39" s="18"/>
      <c r="R39" s="102" t="s">
        <v>111</v>
      </c>
    </row>
    <row r="40" spans="2:18" ht="18" x14ac:dyDescent="0.3">
      <c r="B40" s="86"/>
      <c r="C40" s="101" t="str">
        <f>IF((SUM(I34:I38)/C30)&lt;&gt;1,R45,R46)</f>
        <v>Верно внесены высоты вставок</v>
      </c>
      <c r="D40" s="183">
        <f>IF(C40=R46,1,0)</f>
        <v>1</v>
      </c>
      <c r="E40" s="183"/>
      <c r="F40" s="183"/>
      <c r="G40" s="183"/>
      <c r="H40" s="88"/>
      <c r="I40" s="19"/>
      <c r="J40" s="230" t="s">
        <v>48</v>
      </c>
      <c r="K40" s="231"/>
      <c r="L40" s="232"/>
      <c r="M40" s="174" t="s">
        <v>159</v>
      </c>
      <c r="N40" s="152">
        <f>IF(C16=R41,ROUNDUP(L10*M10/1000,0),0)</f>
        <v>0</v>
      </c>
      <c r="O40" s="27"/>
      <c r="P40" s="18"/>
      <c r="R40" s="102" t="s">
        <v>104</v>
      </c>
    </row>
    <row r="41" spans="2:18" ht="18" x14ac:dyDescent="0.3">
      <c r="B41" s="86"/>
      <c r="C41" s="87"/>
      <c r="D41" s="87"/>
      <c r="E41" s="87"/>
      <c r="F41" s="87"/>
      <c r="G41" s="87"/>
      <c r="H41" s="88"/>
      <c r="I41" s="19"/>
      <c r="J41" s="230" t="s">
        <v>104</v>
      </c>
      <c r="K41" s="231"/>
      <c r="L41" s="232"/>
      <c r="M41" s="174" t="s">
        <v>160</v>
      </c>
      <c r="N41" s="152">
        <f>IF(C16=R40,ROUNDUP(L10*M10/1000,0),0)</f>
        <v>21</v>
      </c>
      <c r="O41" s="27"/>
      <c r="P41" s="18"/>
      <c r="R41" s="12" t="s">
        <v>48</v>
      </c>
    </row>
    <row r="42" spans="2:18" ht="18" x14ac:dyDescent="0.3">
      <c r="B42" s="86"/>
      <c r="C42" s="103"/>
      <c r="D42" s="103"/>
      <c r="E42" s="104"/>
      <c r="F42" s="104"/>
      <c r="G42" s="104"/>
      <c r="H42" s="88"/>
      <c r="I42" s="19"/>
      <c r="J42" s="230" t="s">
        <v>115</v>
      </c>
      <c r="K42" s="231"/>
      <c r="L42" s="232"/>
      <c r="M42" s="145" t="s">
        <v>161</v>
      </c>
      <c r="N42" s="153">
        <f>IF(N41&gt;0,M10*2,0)</f>
        <v>16</v>
      </c>
      <c r="O42" s="27"/>
      <c r="P42" s="18"/>
      <c r="R42" s="19"/>
    </row>
    <row r="43" spans="2:18" ht="18" x14ac:dyDescent="0.3">
      <c r="B43" s="86"/>
      <c r="C43" s="87"/>
      <c r="D43" s="87"/>
      <c r="E43" s="87"/>
      <c r="F43" s="87"/>
      <c r="G43" s="87"/>
      <c r="H43" s="88"/>
      <c r="I43" s="19"/>
      <c r="J43" s="230" t="s">
        <v>116</v>
      </c>
      <c r="K43" s="231"/>
      <c r="L43" s="232"/>
      <c r="M43" s="174" t="s">
        <v>191</v>
      </c>
      <c r="N43" s="153">
        <f>C19</f>
        <v>0</v>
      </c>
      <c r="O43" s="27"/>
      <c r="P43" s="18"/>
    </row>
    <row r="44" spans="2:18" ht="18" x14ac:dyDescent="0.3">
      <c r="B44" s="86"/>
      <c r="C44" s="104" t="str">
        <f>IF(AND(SUM(I34:I38)/C30=1,E38=0,C30&lt;&gt;1),R49,R50)</f>
        <v xml:space="preserve"> </v>
      </c>
      <c r="D44" s="104"/>
      <c r="E44" s="104"/>
      <c r="F44" s="104"/>
      <c r="G44" s="104"/>
      <c r="H44" s="88"/>
      <c r="I44" s="19"/>
      <c r="J44" s="230" t="s">
        <v>117</v>
      </c>
      <c r="K44" s="231"/>
      <c r="L44" s="232"/>
      <c r="M44" s="174" t="s">
        <v>193</v>
      </c>
      <c r="N44" s="153">
        <f>IF(OR(D20="невозможно установить",C20="нет"),0,
IF(OR(C10=R9,C10=R11,C10=R15),1,0))</f>
        <v>0</v>
      </c>
      <c r="O44" s="27"/>
      <c r="P44" s="18"/>
    </row>
    <row r="45" spans="2:18" ht="18" x14ac:dyDescent="0.3">
      <c r="B45" s="86"/>
      <c r="C45" s="87"/>
      <c r="D45" s="87"/>
      <c r="E45" s="87"/>
      <c r="F45" s="87"/>
      <c r="G45" s="87"/>
      <c r="H45" s="88"/>
      <c r="I45" s="19"/>
      <c r="J45" s="230" t="s">
        <v>118</v>
      </c>
      <c r="K45" s="231"/>
      <c r="L45" s="232"/>
      <c r="M45" s="174" t="s">
        <v>192</v>
      </c>
      <c r="N45" s="153">
        <f>IF(C21=R26,0,
IF(C10=R10,1,
IF(C10=R14,2,
IF(AND(OR(C10=R12,C10=R13),C14=R25),1,
IF(AND(C10=R13,C14=R26),C12-1,0)))))</f>
        <v>0</v>
      </c>
      <c r="O45" s="27"/>
      <c r="P45" s="18"/>
      <c r="R45" s="98" t="s">
        <v>91</v>
      </c>
    </row>
    <row r="46" spans="2:18" ht="18" x14ac:dyDescent="0.3">
      <c r="B46" s="86"/>
      <c r="C46" s="87"/>
      <c r="D46" s="87"/>
      <c r="E46" s="87"/>
      <c r="F46" s="87"/>
      <c r="G46" s="87"/>
      <c r="H46" s="88"/>
      <c r="I46" s="19"/>
      <c r="J46" s="230" t="s">
        <v>211</v>
      </c>
      <c r="K46" s="231"/>
      <c r="L46" s="232"/>
      <c r="M46" s="174" t="s">
        <v>212</v>
      </c>
      <c r="N46" s="153">
        <f>IF(AND(N28&gt;0,C14=R25),1,0)</f>
        <v>0</v>
      </c>
      <c r="O46" s="27"/>
      <c r="P46" s="18"/>
      <c r="R46" s="98" t="s">
        <v>92</v>
      </c>
    </row>
    <row r="47" spans="2:18" ht="18" x14ac:dyDescent="0.35">
      <c r="B47" s="105"/>
      <c r="C47" s="106"/>
      <c r="D47" s="183"/>
      <c r="E47" s="183"/>
      <c r="F47" s="183"/>
      <c r="G47" s="183"/>
      <c r="H47" s="88"/>
      <c r="I47" s="19"/>
      <c r="J47" s="26"/>
      <c r="K47" s="19"/>
      <c r="L47" s="251"/>
      <c r="M47" s="251"/>
      <c r="N47" s="251"/>
      <c r="O47" s="27"/>
      <c r="P47" s="18"/>
    </row>
    <row r="48" spans="2:18" ht="18" x14ac:dyDescent="0.3">
      <c r="B48" s="26"/>
      <c r="C48" s="19"/>
      <c r="D48" s="19"/>
      <c r="E48" s="19"/>
      <c r="F48" s="19"/>
      <c r="G48" s="19"/>
      <c r="H48" s="27"/>
      <c r="I48" s="19"/>
      <c r="J48" s="26"/>
      <c r="K48" s="19"/>
      <c r="L48" s="19"/>
      <c r="M48" s="19"/>
      <c r="N48" s="19"/>
      <c r="O48" s="27"/>
      <c r="P48" s="107"/>
    </row>
    <row r="49" spans="2:20" ht="18" x14ac:dyDescent="0.35">
      <c r="B49" s="105"/>
      <c r="C49" s="106"/>
      <c r="D49" s="183"/>
      <c r="E49" s="183"/>
      <c r="F49" s="183"/>
      <c r="G49" s="183"/>
      <c r="H49" s="84"/>
      <c r="I49" s="19"/>
      <c r="J49" s="26"/>
      <c r="K49" s="19"/>
      <c r="L49" s="19"/>
      <c r="M49" s="19"/>
      <c r="N49" s="19"/>
      <c r="O49" s="27"/>
      <c r="P49" s="108"/>
      <c r="R49" s="109" t="s">
        <v>101</v>
      </c>
    </row>
    <row r="50" spans="2:20" ht="18" x14ac:dyDescent="0.35">
      <c r="B50" s="105"/>
      <c r="C50" s="106"/>
      <c r="D50" s="183"/>
      <c r="E50" s="183"/>
      <c r="F50" s="183"/>
      <c r="G50" s="183"/>
      <c r="H50" s="84"/>
      <c r="I50" s="19"/>
      <c r="J50" s="26"/>
      <c r="K50" s="19"/>
      <c r="L50" s="19"/>
      <c r="M50" s="19"/>
      <c r="N50" s="19"/>
      <c r="O50" s="27"/>
      <c r="P50" s="12"/>
      <c r="R50" s="12" t="s">
        <v>65</v>
      </c>
    </row>
    <row r="51" spans="2:20" ht="18" x14ac:dyDescent="0.35">
      <c r="B51" s="105"/>
      <c r="C51" s="106"/>
      <c r="D51" s="183"/>
      <c r="E51" s="183"/>
      <c r="F51" s="183"/>
      <c r="G51" s="183"/>
      <c r="H51" s="84"/>
      <c r="I51" s="19"/>
      <c r="J51" s="26"/>
      <c r="K51" s="19"/>
      <c r="L51" s="19"/>
      <c r="M51" s="19"/>
      <c r="N51" s="19"/>
      <c r="O51" s="27"/>
      <c r="R51" s="19"/>
    </row>
    <row r="52" spans="2:20" ht="18.600000000000001" thickBot="1" x14ac:dyDescent="0.4">
      <c r="B52" s="110"/>
      <c r="C52" s="111"/>
      <c r="D52" s="112"/>
      <c r="E52" s="112"/>
      <c r="F52" s="112"/>
      <c r="G52" s="112"/>
      <c r="H52" s="113"/>
      <c r="I52" s="202"/>
      <c r="J52" s="31"/>
      <c r="K52" s="248"/>
      <c r="L52" s="248"/>
      <c r="M52" s="248"/>
      <c r="N52" s="248"/>
      <c r="O52" s="203"/>
      <c r="R52" s="58" t="e">
        <f>#REF!</f>
        <v>#REF!</v>
      </c>
    </row>
    <row r="53" spans="2:20" x14ac:dyDescent="0.3">
      <c r="R53" s="58" t="e">
        <f>#REF!</f>
        <v>#REF!</v>
      </c>
    </row>
    <row r="54" spans="2:20" x14ac:dyDescent="0.3">
      <c r="R54" s="58" t="e">
        <f>#REF!</f>
        <v>#REF!</v>
      </c>
    </row>
    <row r="55" spans="2:20" x14ac:dyDescent="0.3">
      <c r="R55" s="58" t="e">
        <f>#REF!</f>
        <v>#REF!</v>
      </c>
    </row>
    <row r="56" spans="2:20" x14ac:dyDescent="0.3">
      <c r="R56" s="58" t="e">
        <f>#REF!</f>
        <v>#REF!</v>
      </c>
    </row>
    <row r="57" spans="2:20" x14ac:dyDescent="0.3">
      <c r="R57" s="58" t="e">
        <f>#REF!</f>
        <v>#REF!</v>
      </c>
    </row>
    <row r="58" spans="2:20" x14ac:dyDescent="0.3">
      <c r="R58" s="58" t="e">
        <f>#REF!</f>
        <v>#REF!</v>
      </c>
    </row>
    <row r="59" spans="2:20" x14ac:dyDescent="0.3">
      <c r="R59" s="58" t="e">
        <f>#REF!</f>
        <v>#REF!</v>
      </c>
    </row>
    <row r="60" spans="2:20" x14ac:dyDescent="0.3">
      <c r="R60" s="19"/>
    </row>
    <row r="61" spans="2:20" ht="15.6" x14ac:dyDescent="0.3">
      <c r="T61" s="61">
        <v>0</v>
      </c>
    </row>
    <row r="62" spans="2:20" ht="15.6" x14ac:dyDescent="0.3">
      <c r="T62" s="61">
        <v>1</v>
      </c>
    </row>
    <row r="63" spans="2:20" ht="15.6" x14ac:dyDescent="0.3">
      <c r="T63" s="61">
        <v>2</v>
      </c>
    </row>
    <row r="64" spans="2:20" ht="15.6" x14ac:dyDescent="0.3">
      <c r="T64" s="61">
        <v>3</v>
      </c>
    </row>
    <row r="65" spans="18:20" ht="15.6" x14ac:dyDescent="0.3">
      <c r="T65" s="61">
        <v>4</v>
      </c>
    </row>
    <row r="66" spans="18:20" ht="15.6" x14ac:dyDescent="0.3">
      <c r="T66" s="61">
        <v>5</v>
      </c>
    </row>
    <row r="71" spans="18:20" x14ac:dyDescent="0.3">
      <c r="R71" s="12" t="s">
        <v>137</v>
      </c>
    </row>
    <row r="72" spans="18:20" x14ac:dyDescent="0.3">
      <c r="R72" s="12" t="s">
        <v>136</v>
      </c>
    </row>
  </sheetData>
  <sheetProtection algorithmName="SHA-512" hashValue="PBMOUcdBYtY9GwDG6eBIqTE2H0r4s/xwu5Tyow1MWbo5ed0wGLgtO1gK/LYYp1iAJN1iO974QQzV9tUMW2Y6LQ==" saltValue="/mGRSFB/B62xOUt5Id6vSQ==" spinCount="100000" sheet="1" selectLockedCells="1"/>
  <mergeCells count="58">
    <mergeCell ref="D9:H9"/>
    <mergeCell ref="D10:H10"/>
    <mergeCell ref="D13:H13"/>
    <mergeCell ref="D23:H23"/>
    <mergeCell ref="J45:L45"/>
    <mergeCell ref="J43:L43"/>
    <mergeCell ref="J34:L34"/>
    <mergeCell ref="D8:H8"/>
    <mergeCell ref="J8:M8"/>
    <mergeCell ref="B2:H2"/>
    <mergeCell ref="B3:C3"/>
    <mergeCell ref="J3:K3"/>
    <mergeCell ref="D4:H4"/>
    <mergeCell ref="J7:M7"/>
    <mergeCell ref="J2:O2"/>
    <mergeCell ref="K52:N52"/>
    <mergeCell ref="N12:N13"/>
    <mergeCell ref="L47:N47"/>
    <mergeCell ref="J32:L32"/>
    <mergeCell ref="J27:L27"/>
    <mergeCell ref="J37:L37"/>
    <mergeCell ref="J44:L44"/>
    <mergeCell ref="J33:L33"/>
    <mergeCell ref="J22:L22"/>
    <mergeCell ref="J23:L23"/>
    <mergeCell ref="J46:L46"/>
    <mergeCell ref="B24:H26"/>
    <mergeCell ref="J42:L42"/>
    <mergeCell ref="E39:G39"/>
    <mergeCell ref="J40:L40"/>
    <mergeCell ref="J39:L39"/>
    <mergeCell ref="J41:L41"/>
    <mergeCell ref="J30:L30"/>
    <mergeCell ref="J28:L28"/>
    <mergeCell ref="J31:L31"/>
    <mergeCell ref="J24:L24"/>
    <mergeCell ref="J29:L29"/>
    <mergeCell ref="J38:L38"/>
    <mergeCell ref="J35:L35"/>
    <mergeCell ref="J36:L36"/>
    <mergeCell ref="J25:L25"/>
    <mergeCell ref="J26:L26"/>
    <mergeCell ref="B1:O1"/>
    <mergeCell ref="D21:H21"/>
    <mergeCell ref="D14:H14"/>
    <mergeCell ref="D17:H17"/>
    <mergeCell ref="D20:H20"/>
    <mergeCell ref="D11:H11"/>
    <mergeCell ref="D16:H16"/>
    <mergeCell ref="D18:H18"/>
    <mergeCell ref="J17:O17"/>
    <mergeCell ref="D15:H15"/>
    <mergeCell ref="D5:H5"/>
    <mergeCell ref="D6:H6"/>
    <mergeCell ref="D7:H7"/>
    <mergeCell ref="D12:H12"/>
    <mergeCell ref="D19:H19"/>
    <mergeCell ref="O12:O13"/>
  </mergeCells>
  <conditionalFormatting sqref="K5:K6 N41 N27:N28 N30:N38 L10:O11 L14:O16 L13:M13 N12:O12 N23:N25">
    <cfRule type="expression" dxfId="123" priority="85">
      <formula>$C$5=0</formula>
    </cfRule>
  </conditionalFormatting>
  <conditionalFormatting sqref="C23 C13:C17 C5:C7 C9">
    <cfRule type="cellIs" dxfId="122" priority="72" operator="greaterThan">
      <formula>0</formula>
    </cfRule>
  </conditionalFormatting>
  <conditionalFormatting sqref="C10">
    <cfRule type="cellIs" dxfId="121" priority="68" operator="greaterThan">
      <formula>0</formula>
    </cfRule>
  </conditionalFormatting>
  <conditionalFormatting sqref="D5:H6">
    <cfRule type="expression" dxfId="120" priority="11">
      <formula>$C5=0</formula>
    </cfRule>
  </conditionalFormatting>
  <conditionalFormatting sqref="N29">
    <cfRule type="expression" dxfId="119" priority="46">
      <formula>$C$5=0</formula>
    </cfRule>
  </conditionalFormatting>
  <conditionalFormatting sqref="C18:C21">
    <cfRule type="cellIs" dxfId="118" priority="42" operator="greaterThan">
      <formula>0</formula>
    </cfRule>
  </conditionalFormatting>
  <conditionalFormatting sqref="N40">
    <cfRule type="expression" dxfId="117" priority="24">
      <formula>$C$5=0</formula>
    </cfRule>
  </conditionalFormatting>
  <conditionalFormatting sqref="N42">
    <cfRule type="expression" dxfId="116" priority="23">
      <formula>$C$5=0</formula>
    </cfRule>
  </conditionalFormatting>
  <conditionalFormatting sqref="N43">
    <cfRule type="expression" dxfId="115" priority="22">
      <formula>$C$5=0</formula>
    </cfRule>
  </conditionalFormatting>
  <conditionalFormatting sqref="N44">
    <cfRule type="expression" dxfId="114" priority="21">
      <formula>$C$5=0</formula>
    </cfRule>
  </conditionalFormatting>
  <conditionalFormatting sqref="N45">
    <cfRule type="expression" dxfId="113" priority="20">
      <formula>$C$5=0</formula>
    </cfRule>
  </conditionalFormatting>
  <conditionalFormatting sqref="D5:H7 D9:H21">
    <cfRule type="expression" dxfId="112" priority="7">
      <formula>$C$6=0</formula>
    </cfRule>
  </conditionalFormatting>
  <conditionalFormatting sqref="D21:H21">
    <cfRule type="expression" dxfId="111" priority="18">
      <formula>$D$21="невозможно установить"</formula>
    </cfRule>
  </conditionalFormatting>
  <conditionalFormatting sqref="K5">
    <cfRule type="expression" dxfId="110" priority="10">
      <formula>AND(OR($K$5&lt;600,$K$5&gt;1200),$C$5&gt;0)</formula>
    </cfRule>
  </conditionalFormatting>
  <conditionalFormatting sqref="N26 N39">
    <cfRule type="expression" dxfId="109" priority="9">
      <formula>$C$5=0</formula>
    </cfRule>
  </conditionalFormatting>
  <conditionalFormatting sqref="H39 E34 F34:H38 O52">
    <cfRule type="expression" dxfId="108" priority="8">
      <formula>$C$5=0</formula>
    </cfRule>
  </conditionalFormatting>
  <conditionalFormatting sqref="K6">
    <cfRule type="expression" dxfId="107" priority="6">
      <formula>$K$6&gt;3200</formula>
    </cfRule>
  </conditionalFormatting>
  <conditionalFormatting sqref="C8">
    <cfRule type="cellIs" dxfId="106" priority="4" operator="greaterThan">
      <formula>0</formula>
    </cfRule>
  </conditionalFormatting>
  <conditionalFormatting sqref="D8:H8">
    <cfRule type="expression" dxfId="105" priority="3">
      <formula>$C$6=0</formula>
    </cfRule>
  </conditionalFormatting>
  <conditionalFormatting sqref="N46">
    <cfRule type="expression" dxfId="104" priority="1">
      <formula>$C$5=0</formula>
    </cfRule>
  </conditionalFormatting>
  <conditionalFormatting sqref="C40">
    <cfRule type="expression" dxfId="103" priority="221">
      <formula>$C$40=$R$45</formula>
    </cfRule>
    <cfRule type="expression" dxfId="102" priority="222">
      <formula>$C$40=$R$46</formula>
    </cfRule>
  </conditionalFormatting>
  <conditionalFormatting sqref="D30:G30">
    <cfRule type="expression" dxfId="101" priority="223">
      <formula>$D$30=#REF!</formula>
    </cfRule>
  </conditionalFormatting>
  <conditionalFormatting sqref="C44">
    <cfRule type="expression" dxfId="100" priority="224">
      <formula>$C$44=$R$49</formula>
    </cfRule>
  </conditionalFormatting>
  <conditionalFormatting sqref="C11">
    <cfRule type="expression" dxfId="99" priority="225">
      <formula>OR($C$10=$R$12,$C$10=$R$13)</formula>
    </cfRule>
  </conditionalFormatting>
  <conditionalFormatting sqref="C12">
    <cfRule type="expression" dxfId="98" priority="226">
      <formula>AND($C$10=$R$13,$C$12&lt;3)</formula>
    </cfRule>
    <cfRule type="expression" dxfId="97" priority="227">
      <formula>OR($C$10=$R$8,$C$10=$R$9,$C$10=$R$10,$C$10=$R$11,$C$10=$R$14,$C$10=$R$15)</formula>
    </cfRule>
    <cfRule type="cellIs" dxfId="96" priority="228" operator="greaterThan">
      <formula>0</formula>
    </cfRule>
  </conditionalFormatting>
  <conditionalFormatting sqref="D20">
    <cfRule type="expression" dxfId="95" priority="229">
      <formula>$C$20=$R$26</formula>
    </cfRule>
    <cfRule type="expression" dxfId="94" priority="230">
      <formula>$D$20="невозможно установить"</formula>
    </cfRule>
  </conditionalFormatting>
  <conditionalFormatting sqref="D21">
    <cfRule type="expression" dxfId="93" priority="231">
      <formula>$C$21=$R$26</formula>
    </cfRule>
  </conditionalFormatting>
  <conditionalFormatting sqref="D18:H18">
    <cfRule type="expression" dxfId="92" priority="232">
      <formula>$C$18="нет"</formula>
    </cfRule>
    <cfRule type="expression" dxfId="91" priority="233">
      <formula>$D$18=$R$71</formula>
    </cfRule>
  </conditionalFormatting>
  <conditionalFormatting sqref="D6">
    <cfRule type="expression" dxfId="90" priority="234">
      <formula>$D$6=$R$18</formula>
    </cfRule>
  </conditionalFormatting>
  <conditionalFormatting sqref="D5:H5">
    <cfRule type="expression" dxfId="89" priority="235">
      <formula>$D$5=$AA$15</formula>
    </cfRule>
  </conditionalFormatting>
  <dataValidations count="10">
    <dataValidation type="list" allowBlank="1" showInputMessage="1" showErrorMessage="1" sqref="C14:C15 C17:C18 C20:C21">
      <formula1>$R$25:$R$26</formula1>
    </dataValidation>
    <dataValidation type="list" allowBlank="1" showInputMessage="1" showErrorMessage="1" sqref="C13">
      <formula1>$R$21:$R$22</formula1>
    </dataValidation>
    <dataValidation type="list" allowBlank="1" showInputMessage="1" showErrorMessage="1" sqref="C23 C34:C38">
      <formula1>$R$29:$R$31</formula1>
    </dataValidation>
    <dataValidation type="list" allowBlank="1" showInputMessage="1" showErrorMessage="1" sqref="C10">
      <formula1>$R$8:$R$15</formula1>
    </dataValidation>
    <dataValidation type="list" allowBlank="1" showInputMessage="1" showErrorMessage="1" sqref="C16">
      <formula1>$R$38:$R$41</formula1>
    </dataValidation>
    <dataValidation type="whole" allowBlank="1" showInputMessage="1" showErrorMessage="1" sqref="C19">
      <formula1>0</formula1>
      <formula2>20</formula2>
    </dataValidation>
    <dataValidation type="list" allowBlank="1" showInputMessage="1" showErrorMessage="1" sqref="C7">
      <formula1>$T$61:$T$65</formula1>
    </dataValidation>
    <dataValidation type="list" allowBlank="1" showInputMessage="1" showErrorMessage="1" sqref="C9">
      <formula1>$R$52:$R$59</formula1>
    </dataValidation>
    <dataValidation type="list" allowBlank="1" showInputMessage="1" showErrorMessage="1" sqref="C8">
      <formula1>$Z$4:$Z$5</formula1>
    </dataValidation>
    <dataValidation type="list" allowBlank="1" showInputMessage="1" showErrorMessage="1" sqref="C12">
      <formula1>IF($C$10=$R$13,$T$64:$T$66,$T$63:$T$66)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D40:G40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U73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1" style="12" customWidth="1"/>
    <col min="2" max="2" width="43.5546875" style="12" customWidth="1"/>
    <col min="3" max="3" width="32" style="12" customWidth="1"/>
    <col min="4" max="8" width="14.6640625" style="12" customWidth="1"/>
    <col min="9" max="9" width="1.88671875" style="12" customWidth="1"/>
    <col min="10" max="10" width="27" style="12" customWidth="1"/>
    <col min="11" max="11" width="15.88671875" style="12" customWidth="1"/>
    <col min="12" max="12" width="12.88671875" style="12" customWidth="1"/>
    <col min="13" max="13" width="15.6640625" style="12" customWidth="1"/>
    <col min="14" max="14" width="13.6640625" style="12" customWidth="1"/>
    <col min="15" max="15" width="16.6640625" style="12" customWidth="1"/>
    <col min="16" max="16" width="25.21875" style="12" hidden="1" customWidth="1"/>
    <col min="17" max="17" width="23" style="12" hidden="1" customWidth="1"/>
    <col min="18" max="18" width="16.6640625" style="12" hidden="1" customWidth="1"/>
    <col min="19" max="19" width="27.21875" style="12" hidden="1" customWidth="1"/>
    <col min="20" max="20" width="24.33203125" style="12" hidden="1" customWidth="1"/>
    <col min="21" max="21" width="24" style="12" hidden="1" customWidth="1"/>
    <col min="22" max="22" width="8.88671875" style="12" customWidth="1"/>
    <col min="23" max="16384" width="8.88671875" style="12"/>
  </cols>
  <sheetData>
    <row r="1" spans="2:21" ht="18.600000000000001" thickBot="1" x14ac:dyDescent="0.35">
      <c r="B1" s="204" t="s">
        <v>74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</row>
    <row r="2" spans="2:21" s="13" customFormat="1" x14ac:dyDescent="0.3">
      <c r="B2" s="261" t="s">
        <v>76</v>
      </c>
      <c r="C2" s="262"/>
      <c r="D2" s="262"/>
      <c r="E2" s="262"/>
      <c r="F2" s="262"/>
      <c r="G2" s="262"/>
      <c r="H2" s="263"/>
      <c r="I2" s="134"/>
      <c r="J2" s="269" t="s">
        <v>77</v>
      </c>
      <c r="K2" s="270"/>
      <c r="L2" s="270"/>
      <c r="M2" s="270"/>
      <c r="N2" s="270"/>
      <c r="O2" s="271"/>
      <c r="P2" s="60"/>
      <c r="Q2" s="60"/>
      <c r="R2" s="12" t="e">
        <f>IF(C9=P52,O16*#REF!,IF(C9=P53,O16*#REF!,IF(OR(C9=P58,C9=P59),O16*#REF!,#REF!)))</f>
        <v>#REF!</v>
      </c>
      <c r="S2" s="12" t="s">
        <v>205</v>
      </c>
      <c r="T2" s="12" t="s">
        <v>204</v>
      </c>
      <c r="U2" s="12">
        <f>IF(C8=S2,9,8)</f>
        <v>8</v>
      </c>
    </row>
    <row r="3" spans="2:21" s="16" customFormat="1" ht="15.6" x14ac:dyDescent="0.3">
      <c r="B3" s="264" t="s">
        <v>16</v>
      </c>
      <c r="C3" s="265"/>
      <c r="D3" s="14"/>
      <c r="E3" s="14"/>
      <c r="F3" s="14"/>
      <c r="G3" s="14"/>
      <c r="H3" s="15"/>
      <c r="I3" s="199"/>
      <c r="J3" s="264" t="s">
        <v>134</v>
      </c>
      <c r="K3" s="265"/>
      <c r="L3" s="14"/>
      <c r="M3" s="14"/>
      <c r="N3" s="14"/>
      <c r="O3" s="15"/>
      <c r="R3" s="12" t="e">
        <f>IF(C9=P52,O16*#REF!,IF(C9=P53,O16*#REF!,IF(C9=P54,O16*#REF!,IF(C9=P55,O16*#REF!,O16*#REF!))))</f>
        <v>#REF!</v>
      </c>
      <c r="S3" s="12" t="s">
        <v>206</v>
      </c>
      <c r="T3" s="12" t="s">
        <v>149</v>
      </c>
      <c r="U3" s="12"/>
    </row>
    <row r="4" spans="2:21" ht="15.6" x14ac:dyDescent="0.3">
      <c r="B4" s="17" t="s">
        <v>5</v>
      </c>
      <c r="C4" s="181" t="s">
        <v>17</v>
      </c>
      <c r="D4" s="289" t="s">
        <v>20</v>
      </c>
      <c r="E4" s="290"/>
      <c r="F4" s="290"/>
      <c r="G4" s="290"/>
      <c r="H4" s="291"/>
      <c r="I4" s="19"/>
      <c r="J4" s="48" t="s">
        <v>0</v>
      </c>
      <c r="K4" s="178" t="s">
        <v>17</v>
      </c>
      <c r="L4" s="18"/>
      <c r="M4" s="18"/>
      <c r="N4" s="18"/>
      <c r="O4" s="25"/>
    </row>
    <row r="5" spans="2:21" ht="18" x14ac:dyDescent="0.3">
      <c r="B5" s="42" t="s">
        <v>93</v>
      </c>
      <c r="C5" s="23">
        <v>1000</v>
      </c>
      <c r="D5" s="225" t="str">
        <f>IF(OR(K5&gt;600,K5&lt;300),Q63,Q64)</f>
        <v>допустимо</v>
      </c>
      <c r="E5" s="226"/>
      <c r="F5" s="226"/>
      <c r="G5" s="226"/>
      <c r="H5" s="227"/>
      <c r="I5" s="19"/>
      <c r="J5" s="49" t="s">
        <v>25</v>
      </c>
      <c r="K5" s="51">
        <f>ROUNDDOWN(IF(C11=Q10,(C5-10-10-2)/2,
IF(C11=Q11,(C5-10-10-2-2-10)/4,0)),0)</f>
        <v>489</v>
      </c>
      <c r="L5" s="19"/>
      <c r="M5" s="19"/>
      <c r="N5" s="19"/>
      <c r="O5" s="27"/>
    </row>
    <row r="6" spans="2:21" ht="18" x14ac:dyDescent="0.3">
      <c r="B6" s="42" t="s">
        <v>94</v>
      </c>
      <c r="C6" s="23">
        <v>2600</v>
      </c>
      <c r="D6" s="225" t="str">
        <f>IF(K6&gt;3200,Q58,Q59)</f>
        <v>допустимо</v>
      </c>
      <c r="E6" s="226"/>
      <c r="F6" s="226"/>
      <c r="G6" s="226"/>
      <c r="H6" s="227"/>
      <c r="I6" s="19"/>
      <c r="J6" s="49" t="s">
        <v>24</v>
      </c>
      <c r="K6" s="51">
        <f>IF(C10=Q7,C6-77,C6-55)</f>
        <v>2523</v>
      </c>
      <c r="L6" s="18"/>
      <c r="M6" s="18"/>
      <c r="N6" s="18"/>
      <c r="O6" s="25"/>
      <c r="Q6" s="12" t="s">
        <v>59</v>
      </c>
    </row>
    <row r="7" spans="2:21" ht="18" x14ac:dyDescent="0.3">
      <c r="B7" s="42" t="s">
        <v>95</v>
      </c>
      <c r="C7" s="24">
        <v>0</v>
      </c>
      <c r="D7" s="218" t="s">
        <v>15</v>
      </c>
      <c r="E7" s="215"/>
      <c r="F7" s="215"/>
      <c r="G7" s="215"/>
      <c r="H7" s="219"/>
      <c r="I7" s="19"/>
      <c r="J7" s="26"/>
      <c r="K7" s="19"/>
      <c r="L7" s="19"/>
      <c r="M7" s="19"/>
      <c r="N7" s="19"/>
      <c r="O7" s="27"/>
      <c r="Q7" s="12" t="s">
        <v>108</v>
      </c>
    </row>
    <row r="8" spans="2:21" ht="18" x14ac:dyDescent="0.3">
      <c r="B8" s="42" t="s">
        <v>203</v>
      </c>
      <c r="C8" s="24" t="s">
        <v>206</v>
      </c>
      <c r="D8" s="218"/>
      <c r="E8" s="215"/>
      <c r="F8" s="215"/>
      <c r="G8" s="215"/>
      <c r="H8" s="219"/>
      <c r="I8" s="19"/>
      <c r="J8" s="264" t="s">
        <v>143</v>
      </c>
      <c r="K8" s="265"/>
      <c r="L8" s="265"/>
      <c r="M8" s="265"/>
      <c r="N8" s="177"/>
      <c r="O8" s="62"/>
      <c r="S8" s="22"/>
    </row>
    <row r="9" spans="2:21" ht="35.1" customHeight="1" x14ac:dyDescent="0.3">
      <c r="B9" s="42" t="s">
        <v>96</v>
      </c>
      <c r="C9" s="11" t="s">
        <v>195</v>
      </c>
      <c r="D9" s="272"/>
      <c r="E9" s="273"/>
      <c r="F9" s="273"/>
      <c r="G9" s="273"/>
      <c r="H9" s="274"/>
      <c r="I9" s="19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</row>
    <row r="10" spans="2:21" ht="18" x14ac:dyDescent="0.3">
      <c r="B10" s="43" t="s">
        <v>97</v>
      </c>
      <c r="C10" s="30" t="s">
        <v>108</v>
      </c>
      <c r="D10" s="213"/>
      <c r="E10" s="272"/>
      <c r="F10" s="272"/>
      <c r="G10" s="272"/>
      <c r="H10" s="214"/>
      <c r="I10" s="19"/>
      <c r="J10" s="50" t="s">
        <v>2</v>
      </c>
      <c r="K10" s="180" t="s">
        <v>146</v>
      </c>
      <c r="L10" s="158">
        <f>K6</f>
        <v>2523</v>
      </c>
      <c r="M10" s="159">
        <f>IF(AND(C6&gt;0,C11=Q10),4,IF(AND(C6&gt;0,C11=Q11),8,0))</f>
        <v>4</v>
      </c>
      <c r="N10" s="189"/>
      <c r="O10" s="191">
        <f>IF(L10&gt;2650,M10,M10/2)</f>
        <v>2</v>
      </c>
      <c r="Q10" s="61">
        <v>1</v>
      </c>
    </row>
    <row r="11" spans="2:21" ht="18" x14ac:dyDescent="0.3">
      <c r="B11" s="65" t="s">
        <v>98</v>
      </c>
      <c r="C11" s="24">
        <v>1</v>
      </c>
      <c r="D11" s="281" t="s">
        <v>29</v>
      </c>
      <c r="E11" s="282"/>
      <c r="F11" s="282"/>
      <c r="G11" s="282"/>
      <c r="H11" s="283"/>
      <c r="I11" s="19"/>
      <c r="J11" s="50" t="s">
        <v>6</v>
      </c>
      <c r="K11" s="172" t="s">
        <v>150</v>
      </c>
      <c r="L11" s="158">
        <f>C5-2</f>
        <v>998</v>
      </c>
      <c r="M11" s="159">
        <f>IF(C5=0,0,1)</f>
        <v>1</v>
      </c>
      <c r="N11" s="188">
        <f>L11*M11</f>
        <v>998</v>
      </c>
      <c r="O11" s="191">
        <f>CEILING((L11*M11)/5000,1)</f>
        <v>1</v>
      </c>
      <c r="Q11" s="61">
        <v>2</v>
      </c>
    </row>
    <row r="12" spans="2:21" ht="19.05" customHeight="1" x14ac:dyDescent="0.3">
      <c r="B12" s="44" t="s">
        <v>132</v>
      </c>
      <c r="C12" s="45" t="s">
        <v>55</v>
      </c>
      <c r="D12" s="284" t="s">
        <v>133</v>
      </c>
      <c r="E12" s="285"/>
      <c r="F12" s="285"/>
      <c r="G12" s="285"/>
      <c r="H12" s="286"/>
      <c r="I12" s="19"/>
      <c r="J12" s="50" t="s">
        <v>6</v>
      </c>
      <c r="K12" s="172" t="s">
        <v>177</v>
      </c>
      <c r="L12" s="158">
        <f>IF(C10=Q6,L11,0)</f>
        <v>0</v>
      </c>
      <c r="M12" s="159">
        <f>IF(C10=Q6,1,0)</f>
        <v>0</v>
      </c>
      <c r="N12" s="188">
        <f t="shared" ref="N12:N17" si="0">L12*M12</f>
        <v>0</v>
      </c>
      <c r="O12" s="191">
        <f>CEILING((L12*M12)/5400,1)</f>
        <v>0</v>
      </c>
    </row>
    <row r="13" spans="2:21" ht="19.05" customHeight="1" x14ac:dyDescent="0.3">
      <c r="B13" s="73" t="s">
        <v>110</v>
      </c>
      <c r="C13" s="29" t="s">
        <v>104</v>
      </c>
      <c r="D13" s="223"/>
      <c r="E13" s="218"/>
      <c r="F13" s="218"/>
      <c r="G13" s="218"/>
      <c r="H13" s="219"/>
      <c r="I13" s="19"/>
      <c r="J13" s="50" t="s">
        <v>7</v>
      </c>
      <c r="K13" s="180" t="s">
        <v>151</v>
      </c>
      <c r="L13" s="158">
        <f>IF(C10=Q7,L11,0)</f>
        <v>998</v>
      </c>
      <c r="M13" s="159">
        <f>IF(C10=Q7,1,0)</f>
        <v>1</v>
      </c>
      <c r="N13" s="188">
        <f t="shared" si="0"/>
        <v>998</v>
      </c>
      <c r="O13" s="191">
        <f>CEILING((L13*M13)/5000,1)</f>
        <v>1</v>
      </c>
    </row>
    <row r="14" spans="2:21" ht="19.05" customHeight="1" thickBot="1" x14ac:dyDescent="0.35">
      <c r="B14" s="115" t="s">
        <v>130</v>
      </c>
      <c r="C14" s="41">
        <v>540</v>
      </c>
      <c r="D14" s="287" t="s">
        <v>131</v>
      </c>
      <c r="E14" s="287"/>
      <c r="F14" s="287"/>
      <c r="G14" s="287"/>
      <c r="H14" s="288"/>
      <c r="I14" s="19"/>
      <c r="J14" s="50" t="s">
        <v>3</v>
      </c>
      <c r="K14" s="180" t="s">
        <v>147</v>
      </c>
      <c r="L14" s="158">
        <f>K5-78</f>
        <v>411</v>
      </c>
      <c r="M14" s="159">
        <f>IF(C5=0,0,C11*2)</f>
        <v>2</v>
      </c>
      <c r="N14" s="188">
        <f t="shared" si="0"/>
        <v>822</v>
      </c>
      <c r="O14" s="191">
        <f>CEILING((L14*M14)/5000,1)</f>
        <v>1</v>
      </c>
      <c r="Q14" s="20" t="s">
        <v>12</v>
      </c>
    </row>
    <row r="15" spans="2:21" ht="15.6" x14ac:dyDescent="0.3">
      <c r="B15" s="26"/>
      <c r="C15" s="19"/>
      <c r="D15" s="19"/>
      <c r="E15" s="19"/>
      <c r="F15" s="19"/>
      <c r="G15" s="19"/>
      <c r="H15" s="19"/>
      <c r="I15" s="19"/>
      <c r="J15" s="50" t="s">
        <v>4</v>
      </c>
      <c r="K15" s="180" t="s">
        <v>148</v>
      </c>
      <c r="L15" s="158">
        <f>K5-78</f>
        <v>411</v>
      </c>
      <c r="M15" s="159">
        <f>IF(C5=0,0,C11*2)</f>
        <v>2</v>
      </c>
      <c r="N15" s="188">
        <f t="shared" si="0"/>
        <v>822</v>
      </c>
      <c r="O15" s="191">
        <f>CEILING((L15*M15)/5000,1)</f>
        <v>1</v>
      </c>
      <c r="Q15" s="20" t="s">
        <v>13</v>
      </c>
    </row>
    <row r="16" spans="2:21" ht="15.6" x14ac:dyDescent="0.3">
      <c r="B16" s="26"/>
      <c r="C16" s="19"/>
      <c r="D16" s="19"/>
      <c r="E16" s="19"/>
      <c r="F16" s="19"/>
      <c r="G16" s="19"/>
      <c r="H16" s="19"/>
      <c r="I16" s="19"/>
      <c r="J16" s="167" t="str">
        <f>C8</f>
        <v>Рамка средняя 4в1</v>
      </c>
      <c r="K16" s="180" t="str">
        <f>IF(J16=S2,T2,T3)</f>
        <v>FA0412.VP500</v>
      </c>
      <c r="L16" s="158">
        <f>IF(AND(C8=S3,C7&gt;0),K5-78,IF(AND(C8=S2,C7&gt;0),K5-76,0))</f>
        <v>0</v>
      </c>
      <c r="M16" s="159">
        <f>C7*2*C11</f>
        <v>0</v>
      </c>
      <c r="N16" s="188">
        <f t="shared" si="0"/>
        <v>0</v>
      </c>
      <c r="O16" s="191">
        <f>IF(L16="нет",0,CEILING((L16*M16)/5000,1))</f>
        <v>0</v>
      </c>
      <c r="Q16" s="20" t="s">
        <v>14</v>
      </c>
    </row>
    <row r="17" spans="2:17" ht="15.6" x14ac:dyDescent="0.3">
      <c r="B17" s="176" t="s">
        <v>28</v>
      </c>
      <c r="C17" s="177"/>
      <c r="D17" s="177"/>
      <c r="E17" s="177"/>
      <c r="F17" s="177"/>
      <c r="G17" s="177"/>
      <c r="H17" s="177"/>
      <c r="I17" s="19"/>
      <c r="J17" s="50" t="s">
        <v>23</v>
      </c>
      <c r="K17" s="180" t="s">
        <v>162</v>
      </c>
      <c r="L17" s="158">
        <f>C14</f>
        <v>540</v>
      </c>
      <c r="M17" s="159">
        <f>C11</f>
        <v>1</v>
      </c>
      <c r="N17" s="188">
        <f t="shared" si="0"/>
        <v>540</v>
      </c>
      <c r="O17" s="198">
        <f>CEILING((L17*M17)/5400,1)</f>
        <v>1</v>
      </c>
    </row>
    <row r="18" spans="2:17" ht="15.6" x14ac:dyDescent="0.3">
      <c r="B18" s="279" t="s">
        <v>113</v>
      </c>
      <c r="C18" s="280"/>
      <c r="D18" s="280"/>
      <c r="E18" s="280"/>
      <c r="F18" s="280"/>
      <c r="G18" s="280"/>
      <c r="H18" s="280"/>
      <c r="I18" s="19"/>
      <c r="J18" s="276"/>
      <c r="K18" s="277"/>
      <c r="L18" s="277"/>
      <c r="M18" s="277"/>
      <c r="N18" s="277"/>
      <c r="O18" s="278"/>
    </row>
    <row r="19" spans="2:17" ht="15" customHeight="1" x14ac:dyDescent="0.3">
      <c r="B19" s="279"/>
      <c r="C19" s="280"/>
      <c r="D19" s="280"/>
      <c r="E19" s="280"/>
      <c r="F19" s="280"/>
      <c r="G19" s="280"/>
      <c r="H19" s="280"/>
      <c r="I19" s="19"/>
      <c r="J19" s="26"/>
      <c r="K19" s="19"/>
      <c r="L19" s="19"/>
      <c r="M19" s="19"/>
      <c r="N19" s="19"/>
      <c r="O19" s="27"/>
      <c r="Q19" s="12" t="s">
        <v>55</v>
      </c>
    </row>
    <row r="20" spans="2:17" ht="14.25" customHeight="1" x14ac:dyDescent="0.3">
      <c r="B20" s="279"/>
      <c r="C20" s="280"/>
      <c r="D20" s="280"/>
      <c r="E20" s="280"/>
      <c r="F20" s="280"/>
      <c r="G20" s="280"/>
      <c r="H20" s="280"/>
      <c r="I20" s="19"/>
      <c r="J20" s="26"/>
      <c r="K20" s="19"/>
      <c r="L20" s="19"/>
      <c r="M20" s="19"/>
      <c r="N20" s="19"/>
      <c r="O20" s="27"/>
      <c r="Q20" s="12" t="s">
        <v>56</v>
      </c>
    </row>
    <row r="21" spans="2:17" ht="17.25" customHeight="1" thickBot="1" x14ac:dyDescent="0.35">
      <c r="B21" s="26"/>
      <c r="C21" s="19"/>
      <c r="D21" s="19"/>
      <c r="E21" s="19"/>
      <c r="F21" s="19"/>
      <c r="G21" s="19"/>
      <c r="H21" s="19"/>
      <c r="I21" s="19"/>
      <c r="J21" s="264" t="s">
        <v>142</v>
      </c>
      <c r="K21" s="265"/>
      <c r="L21" s="265"/>
      <c r="M21" s="177"/>
      <c r="N21" s="19"/>
      <c r="O21" s="27"/>
    </row>
    <row r="22" spans="2:17" ht="18.600000000000001" thickBot="1" x14ac:dyDescent="0.35">
      <c r="B22" s="192" t="s">
        <v>114</v>
      </c>
      <c r="C22" s="193"/>
      <c r="D22" s="193"/>
      <c r="E22" s="193"/>
      <c r="F22" s="193"/>
      <c r="G22" s="193"/>
      <c r="H22" s="193"/>
      <c r="I22" s="18"/>
      <c r="J22" s="300" t="s">
        <v>0</v>
      </c>
      <c r="K22" s="301"/>
      <c r="L22" s="301"/>
      <c r="M22" s="184" t="s">
        <v>1</v>
      </c>
      <c r="N22" s="184" t="s">
        <v>10</v>
      </c>
      <c r="O22" s="27"/>
    </row>
    <row r="23" spans="2:17" ht="18.600000000000001" thickBot="1" x14ac:dyDescent="0.35">
      <c r="B23" s="78"/>
      <c r="C23" s="79"/>
      <c r="D23" s="79"/>
      <c r="E23" s="79"/>
      <c r="F23" s="79"/>
      <c r="G23" s="79"/>
      <c r="H23" s="80"/>
      <c r="I23" s="18"/>
      <c r="J23" s="252" t="s">
        <v>43</v>
      </c>
      <c r="K23" s="253"/>
      <c r="L23" s="253"/>
      <c r="M23" s="174" t="s">
        <v>171</v>
      </c>
      <c r="N23" s="153">
        <f>C11</f>
        <v>1</v>
      </c>
      <c r="O23" s="27"/>
    </row>
    <row r="24" spans="2:17" ht="18.600000000000001" thickBot="1" x14ac:dyDescent="0.4">
      <c r="B24" s="81" t="s">
        <v>79</v>
      </c>
      <c r="C24" s="82">
        <f>C7+1</f>
        <v>1</v>
      </c>
      <c r="D24" s="116"/>
      <c r="E24" s="117"/>
      <c r="F24" s="117"/>
      <c r="G24" s="117"/>
      <c r="H24" s="84"/>
      <c r="I24" s="194"/>
      <c r="J24" s="252" t="s">
        <v>40</v>
      </c>
      <c r="K24" s="253"/>
      <c r="L24" s="253"/>
      <c r="M24" s="174" t="s">
        <v>172</v>
      </c>
      <c r="N24" s="153">
        <f>C11</f>
        <v>1</v>
      </c>
      <c r="O24" s="27"/>
    </row>
    <row r="25" spans="2:17" ht="18" x14ac:dyDescent="0.3">
      <c r="B25" s="86"/>
      <c r="C25" s="87"/>
      <c r="D25" s="87"/>
      <c r="E25" s="87"/>
      <c r="F25" s="87"/>
      <c r="G25" s="87"/>
      <c r="H25" s="88"/>
      <c r="I25" s="194"/>
      <c r="J25" s="252" t="s">
        <v>58</v>
      </c>
      <c r="K25" s="253"/>
      <c r="L25" s="253"/>
      <c r="M25" s="174" t="s">
        <v>173</v>
      </c>
      <c r="N25" s="153">
        <f>IF(AND(C11=Q10,C12=Q20),1,IF(C11=Q11,1,0))</f>
        <v>0</v>
      </c>
      <c r="O25" s="27"/>
    </row>
    <row r="26" spans="2:17" ht="18" x14ac:dyDescent="0.3">
      <c r="B26" s="86"/>
      <c r="C26" s="87"/>
      <c r="D26" s="87"/>
      <c r="E26" s="87"/>
      <c r="F26" s="87"/>
      <c r="G26" s="87"/>
      <c r="H26" s="88"/>
      <c r="I26" s="194"/>
      <c r="J26" s="252" t="s">
        <v>57</v>
      </c>
      <c r="K26" s="253"/>
      <c r="L26" s="253"/>
      <c r="M26" s="174" t="s">
        <v>174</v>
      </c>
      <c r="N26" s="153">
        <f>IF(AND(C11=Q10,C12=Q19),1,IF(C11=Q11,1,0))</f>
        <v>1</v>
      </c>
      <c r="O26" s="27"/>
    </row>
    <row r="27" spans="2:17" ht="18" x14ac:dyDescent="0.3">
      <c r="B27" s="89" t="s">
        <v>80</v>
      </c>
      <c r="C27" s="182" t="s">
        <v>81</v>
      </c>
      <c r="D27" s="90" t="s">
        <v>50</v>
      </c>
      <c r="E27" s="182" t="s">
        <v>82</v>
      </c>
      <c r="F27" s="182" t="s">
        <v>83</v>
      </c>
      <c r="G27" s="182" t="s">
        <v>102</v>
      </c>
      <c r="H27" s="91" t="s">
        <v>103</v>
      </c>
      <c r="I27" s="19"/>
      <c r="J27" s="252" t="s">
        <v>41</v>
      </c>
      <c r="K27" s="253"/>
      <c r="L27" s="253"/>
      <c r="M27" s="174" t="s">
        <v>175</v>
      </c>
      <c r="N27" s="153">
        <f>C11*2</f>
        <v>2</v>
      </c>
      <c r="O27" s="27"/>
    </row>
    <row r="28" spans="2:17" ht="18" x14ac:dyDescent="0.3">
      <c r="B28" s="92" t="s">
        <v>84</v>
      </c>
      <c r="C28" s="33" t="s">
        <v>14</v>
      </c>
      <c r="D28" s="114">
        <v>0</v>
      </c>
      <c r="E28" s="34">
        <f>K6-IF(E32=0,0,IF(C32=Q14,E32,IF(C32=Q15,E32+2,E32+3)))-IF(E31=0,0,IF(C31=Q14,E31,IF(C31=Q15,E31+2,E31+3)))-IF(E30=0,0,IF(C30=Q14,E30,IF(C30=Q15,E30+2,E30+3)))-IF(E29=0,0,IF(C29=Q14,E29,IF(C29=Q15,E29+2,E29+3)))-44-IF(C28=Q15,2,IF(C28=Q16,3,0))-C7*U2</f>
        <v>2476</v>
      </c>
      <c r="F28" s="93">
        <f>IF(C28=$Q$16,$K$5-63,IF(C28=$Q$15,$K$5-62,$K$5-60))</f>
        <v>426</v>
      </c>
      <c r="G28" s="94">
        <f>$C$11*2</f>
        <v>2</v>
      </c>
      <c r="H28" s="95">
        <f>E28*F28*D28*G28/1000000</f>
        <v>0</v>
      </c>
      <c r="I28" s="194">
        <f>IF(E28&lt;&gt;0,1,0)</f>
        <v>1</v>
      </c>
      <c r="J28" s="252" t="s">
        <v>45</v>
      </c>
      <c r="K28" s="253"/>
      <c r="L28" s="253"/>
      <c r="M28" s="174" t="s">
        <v>164</v>
      </c>
      <c r="N28" s="149">
        <f>C11</f>
        <v>1</v>
      </c>
      <c r="O28" s="27"/>
    </row>
    <row r="29" spans="2:17" ht="18" x14ac:dyDescent="0.3">
      <c r="B29" s="92" t="s">
        <v>85</v>
      </c>
      <c r="C29" s="33" t="s">
        <v>12</v>
      </c>
      <c r="D29" s="114">
        <v>0</v>
      </c>
      <c r="E29" s="35">
        <v>0</v>
      </c>
      <c r="F29" s="93">
        <f>IF(C29=$Q$16,$K$5-63,IF(C29=$Q$15,$K$5-62,$K$5-60))</f>
        <v>429</v>
      </c>
      <c r="G29" s="94">
        <f>IF(E29&lt;&gt;0,$C$11*2,0)</f>
        <v>0</v>
      </c>
      <c r="H29" s="95">
        <f t="shared" ref="H29:H32" si="1">E29*F29*D29*G29/1000000</f>
        <v>0</v>
      </c>
      <c r="I29" s="194">
        <f>IF(E29&lt;&gt;0,1,0)</f>
        <v>0</v>
      </c>
      <c r="J29" s="252" t="s">
        <v>33</v>
      </c>
      <c r="K29" s="253"/>
      <c r="L29" s="253"/>
      <c r="M29" s="174" t="s">
        <v>167</v>
      </c>
      <c r="N29" s="150">
        <f>IF(C14&lt;500,2*C11,C11*ROUNDDOWN(C14/500+1,0))</f>
        <v>2</v>
      </c>
      <c r="O29" s="27"/>
    </row>
    <row r="30" spans="2:17" ht="18" x14ac:dyDescent="0.3">
      <c r="B30" s="92" t="s">
        <v>86</v>
      </c>
      <c r="C30" s="33" t="s">
        <v>12</v>
      </c>
      <c r="D30" s="114">
        <v>0</v>
      </c>
      <c r="E30" s="35">
        <v>0</v>
      </c>
      <c r="F30" s="93">
        <f>IF(C30=$Q$16,$K$5-63,IF(C30=$Q$15,$K$5-62,$K$5-60))</f>
        <v>429</v>
      </c>
      <c r="G30" s="94">
        <f>IF(E30&lt;&gt;0,$C$11*2,0)</f>
        <v>0</v>
      </c>
      <c r="H30" s="95">
        <f t="shared" si="1"/>
        <v>0</v>
      </c>
      <c r="I30" s="194">
        <f>IF(E30&lt;&gt;0,1,0)</f>
        <v>0</v>
      </c>
      <c r="J30" s="252" t="s">
        <v>35</v>
      </c>
      <c r="K30" s="253"/>
      <c r="L30" s="253"/>
      <c r="M30" s="174" t="s">
        <v>168</v>
      </c>
      <c r="N30" s="149">
        <f>C11</f>
        <v>1</v>
      </c>
      <c r="O30" s="27"/>
    </row>
    <row r="31" spans="2:17" ht="18" x14ac:dyDescent="0.3">
      <c r="B31" s="92" t="s">
        <v>87</v>
      </c>
      <c r="C31" s="33" t="s">
        <v>14</v>
      </c>
      <c r="D31" s="114">
        <v>0</v>
      </c>
      <c r="E31" s="35">
        <v>0</v>
      </c>
      <c r="F31" s="93">
        <f>IF(C31=$Q$16,$K$5-63,IF(C31=$Q$15,$K$5-62,$K$5-60))</f>
        <v>426</v>
      </c>
      <c r="G31" s="94">
        <f>IF(E31&lt;&gt;0,$C$11*2,0)</f>
        <v>0</v>
      </c>
      <c r="H31" s="95">
        <f t="shared" si="1"/>
        <v>0</v>
      </c>
      <c r="I31" s="194">
        <f>IF(E31&lt;&gt;0,1,0)</f>
        <v>0</v>
      </c>
      <c r="J31" s="252" t="s">
        <v>189</v>
      </c>
      <c r="K31" s="253"/>
      <c r="L31" s="253"/>
      <c r="M31" s="174" t="s">
        <v>154</v>
      </c>
      <c r="N31" s="150">
        <f>(M14+M15+M16)*2-N32</f>
        <v>6</v>
      </c>
      <c r="O31" s="27"/>
    </row>
    <row r="32" spans="2:17" ht="18.600000000000001" thickBot="1" x14ac:dyDescent="0.35">
      <c r="B32" s="99" t="s">
        <v>88</v>
      </c>
      <c r="C32" s="33" t="s">
        <v>14</v>
      </c>
      <c r="D32" s="114">
        <v>0</v>
      </c>
      <c r="E32" s="35">
        <v>0</v>
      </c>
      <c r="F32" s="93">
        <f>IF(C32=$Q$16,$K$5-63,IF(C32=$Q$15,$K$5-62,$K$5-60))</f>
        <v>426</v>
      </c>
      <c r="G32" s="94">
        <f>IF(E32&lt;&gt;0,$C$11*2,0)</f>
        <v>0</v>
      </c>
      <c r="H32" s="95">
        <f t="shared" si="1"/>
        <v>0</v>
      </c>
      <c r="I32" s="194">
        <f>IF(E32&lt;&gt;0,1,0)</f>
        <v>0</v>
      </c>
      <c r="J32" s="252" t="s">
        <v>190</v>
      </c>
      <c r="K32" s="253"/>
      <c r="L32" s="253"/>
      <c r="M32" s="174" t="s">
        <v>176</v>
      </c>
      <c r="N32" s="189">
        <f>C11*2</f>
        <v>2</v>
      </c>
      <c r="O32" s="27"/>
    </row>
    <row r="33" spans="2:17" ht="18.600000000000001" thickBot="1" x14ac:dyDescent="0.35">
      <c r="B33" s="86"/>
      <c r="C33" s="118"/>
      <c r="D33" s="87"/>
      <c r="E33" s="234" t="s">
        <v>51</v>
      </c>
      <c r="F33" s="234"/>
      <c r="G33" s="235"/>
      <c r="H33" s="100">
        <f>SUM(H28:H32)</f>
        <v>0</v>
      </c>
      <c r="I33" s="18"/>
      <c r="J33" s="252" t="s">
        <v>53</v>
      </c>
      <c r="K33" s="253"/>
      <c r="L33" s="253"/>
      <c r="M33" s="174" t="s">
        <v>155</v>
      </c>
      <c r="N33" s="155">
        <f>ROUNDUP((IF(C28=Q15,(E28+F28)*2*G28,0)+IF(C29=Q15,(E29+F29)*2*G29,0)+IF(C30=Q15,(E30+F30)*2*G30,0)+IF(C31=Q15,(E31+F31)*2*G31,0)+IF(C32=Q15,(E32+F32)*2*G32,0))/1000,0)</f>
        <v>0</v>
      </c>
      <c r="O33" s="27"/>
    </row>
    <row r="34" spans="2:17" ht="18" x14ac:dyDescent="0.3">
      <c r="B34" s="86"/>
      <c r="C34" s="298" t="str">
        <f>IF((SUM(I28:I32)/C24)&lt;&gt;1,Q42,Q43)</f>
        <v>Верно внесены высоты вставок</v>
      </c>
      <c r="D34" s="298"/>
      <c r="E34" s="183">
        <f>IF(C34=Q43,1,0)</f>
        <v>1</v>
      </c>
      <c r="F34" s="183"/>
      <c r="G34" s="183"/>
      <c r="H34" s="88"/>
      <c r="I34" s="18"/>
      <c r="J34" s="252" t="s">
        <v>54</v>
      </c>
      <c r="K34" s="253"/>
      <c r="L34" s="253"/>
      <c r="M34" s="174" t="s">
        <v>156</v>
      </c>
      <c r="N34" s="155">
        <f>ROUNDUP((IF(C28=Q16,(E28+F28)*2*G28,0)+IF(C29=Q16,(E29+F29)*2*G29,0)+IF(C30=Q16,(E30+F30)*2*G30,0)+IF(C31=Q16,(E31+F31)*2*G31,0)+IF(C32=Q16,(E32+F32)*2*G32,0))/1000,0)</f>
        <v>12</v>
      </c>
      <c r="O34" s="27"/>
      <c r="Q34" s="61">
        <v>0</v>
      </c>
    </row>
    <row r="35" spans="2:17" ht="18" x14ac:dyDescent="0.3">
      <c r="B35" s="86"/>
      <c r="C35" s="87"/>
      <c r="D35" s="87"/>
      <c r="E35" s="87"/>
      <c r="F35" s="87"/>
      <c r="G35" s="87"/>
      <c r="H35" s="88"/>
      <c r="I35" s="18"/>
      <c r="J35" s="236" t="s">
        <v>39</v>
      </c>
      <c r="K35" s="237"/>
      <c r="L35" s="238"/>
      <c r="M35" s="157" t="s">
        <v>158</v>
      </c>
      <c r="N35" s="148">
        <f>IF(K5&gt;0,M14+M15+M16,0)</f>
        <v>4</v>
      </c>
      <c r="O35" s="27"/>
      <c r="Q35" s="61">
        <v>1</v>
      </c>
    </row>
    <row r="36" spans="2:17" ht="18" x14ac:dyDescent="0.3">
      <c r="B36" s="86"/>
      <c r="C36" s="103"/>
      <c r="D36" s="103"/>
      <c r="E36" s="104"/>
      <c r="F36" s="104"/>
      <c r="G36" s="19"/>
      <c r="H36" s="88"/>
      <c r="I36" s="18"/>
      <c r="J36" s="236" t="s">
        <v>48</v>
      </c>
      <c r="K36" s="237"/>
      <c r="L36" s="238"/>
      <c r="M36" s="174" t="s">
        <v>159</v>
      </c>
      <c r="N36" s="152">
        <f>IF(C13=Q55,ROUNDUP(K6*2/1000,0),0)+IF(AND(C11=Q11,C13=Q55),ROUNDUP(K6*2/1000,0),0)</f>
        <v>0</v>
      </c>
      <c r="O36" s="27"/>
      <c r="Q36" s="61">
        <v>2</v>
      </c>
    </row>
    <row r="37" spans="2:17" ht="18" x14ac:dyDescent="0.3">
      <c r="B37" s="86"/>
      <c r="C37" s="87"/>
      <c r="D37" s="87"/>
      <c r="E37" s="87"/>
      <c r="F37" s="87"/>
      <c r="G37" s="19"/>
      <c r="H37" s="88"/>
      <c r="I37" s="18"/>
      <c r="J37" s="230" t="s">
        <v>104</v>
      </c>
      <c r="K37" s="231"/>
      <c r="L37" s="232"/>
      <c r="M37" s="174" t="e">
        <f>IF(OR(C9=#REF!,C9=#REF!),Складная!P67,Складная!P68)</f>
        <v>#REF!</v>
      </c>
      <c r="N37" s="152">
        <f>IF(C13=Q54,ROUNDUP(K6*2/1000,0),0)+IF(AND(C11=Q11,C13=Q54),ROUNDUP(K6*2/1000,0),0)</f>
        <v>6</v>
      </c>
      <c r="O37" s="27"/>
      <c r="Q37" s="61">
        <v>3</v>
      </c>
    </row>
    <row r="38" spans="2:17" ht="18" x14ac:dyDescent="0.3">
      <c r="B38" s="86"/>
      <c r="C38" s="299" t="str">
        <f>IF(AND(SUM(I28:I32)/C24=1,E32=0,C24&lt;&gt;1),Q46,Q47)</f>
        <v xml:space="preserve"> </v>
      </c>
      <c r="D38" s="299"/>
      <c r="E38" s="104"/>
      <c r="F38" s="104"/>
      <c r="G38" s="19"/>
      <c r="H38" s="88"/>
      <c r="I38" s="18"/>
      <c r="J38" s="230" t="s">
        <v>115</v>
      </c>
      <c r="K38" s="231"/>
      <c r="L38" s="232"/>
      <c r="M38" s="145" t="s">
        <v>161</v>
      </c>
      <c r="N38" s="153">
        <f>IF(C13=Q540,4,0)+IF(C13=Q540,4,0)</f>
        <v>0</v>
      </c>
      <c r="O38" s="27"/>
      <c r="Q38" s="61">
        <v>4</v>
      </c>
    </row>
    <row r="39" spans="2:17" ht="18.600000000000001" thickBot="1" x14ac:dyDescent="0.35">
      <c r="B39" s="86"/>
      <c r="C39" s="87"/>
      <c r="D39" s="87"/>
      <c r="E39" s="87"/>
      <c r="F39" s="87"/>
      <c r="G39" s="19"/>
      <c r="H39" s="88"/>
      <c r="I39" s="18"/>
      <c r="J39" s="294" t="s">
        <v>47</v>
      </c>
      <c r="K39" s="295"/>
      <c r="L39" s="296"/>
      <c r="M39" s="52" t="s">
        <v>194</v>
      </c>
      <c r="N39" s="144">
        <f>C11</f>
        <v>1</v>
      </c>
      <c r="O39" s="27"/>
    </row>
    <row r="40" spans="2:17" ht="18" x14ac:dyDescent="0.3">
      <c r="B40" s="86"/>
      <c r="C40" s="87"/>
      <c r="D40" s="87"/>
      <c r="E40" s="87"/>
      <c r="F40" s="87"/>
      <c r="G40" s="19"/>
      <c r="H40" s="88"/>
      <c r="I40" s="18"/>
      <c r="J40" s="26"/>
      <c r="K40" s="19"/>
      <c r="L40" s="293"/>
      <c r="M40" s="293"/>
      <c r="N40" s="293"/>
      <c r="O40" s="27"/>
    </row>
    <row r="41" spans="2:17" ht="18" x14ac:dyDescent="0.35">
      <c r="B41" s="105"/>
      <c r="C41" s="106"/>
      <c r="D41" s="183"/>
      <c r="E41" s="183"/>
      <c r="F41" s="183"/>
      <c r="G41" s="183"/>
      <c r="H41" s="88"/>
      <c r="I41" s="18"/>
      <c r="J41" s="26"/>
      <c r="K41" s="19"/>
      <c r="L41" s="19"/>
      <c r="M41" s="19"/>
      <c r="N41" s="19"/>
      <c r="O41" s="27"/>
    </row>
    <row r="42" spans="2:17" ht="18" x14ac:dyDescent="0.3">
      <c r="B42" s="26"/>
      <c r="C42" s="19"/>
      <c r="D42" s="19"/>
      <c r="E42" s="19"/>
      <c r="F42" s="19"/>
      <c r="G42" s="19"/>
      <c r="H42" s="27"/>
      <c r="I42" s="18"/>
      <c r="J42" s="26"/>
      <c r="K42" s="19"/>
      <c r="L42" s="19"/>
      <c r="M42" s="19"/>
      <c r="N42" s="19"/>
      <c r="O42" s="27"/>
      <c r="Q42" s="98" t="s">
        <v>91</v>
      </c>
    </row>
    <row r="43" spans="2:17" ht="18" x14ac:dyDescent="0.35">
      <c r="B43" s="105"/>
      <c r="C43" s="106"/>
      <c r="D43" s="183"/>
      <c r="E43" s="183"/>
      <c r="F43" s="183"/>
      <c r="G43" s="183"/>
      <c r="H43" s="84"/>
      <c r="I43" s="18"/>
      <c r="J43" s="26"/>
      <c r="K43" s="19"/>
      <c r="L43" s="19"/>
      <c r="M43" s="19"/>
      <c r="N43" s="19"/>
      <c r="O43" s="27"/>
      <c r="Q43" s="98" t="s">
        <v>92</v>
      </c>
    </row>
    <row r="44" spans="2:17" ht="18" x14ac:dyDescent="0.35">
      <c r="B44" s="105"/>
      <c r="C44" s="106"/>
      <c r="D44" s="183"/>
      <c r="E44" s="183"/>
      <c r="F44" s="183"/>
      <c r="G44" s="183"/>
      <c r="H44" s="84"/>
      <c r="I44" s="18"/>
      <c r="J44" s="26"/>
      <c r="K44" s="19"/>
      <c r="L44" s="19"/>
      <c r="M44" s="19"/>
      <c r="N44" s="19"/>
      <c r="O44" s="27"/>
      <c r="Q44" s="69"/>
    </row>
    <row r="45" spans="2:17" ht="18" x14ac:dyDescent="0.35">
      <c r="B45" s="105"/>
      <c r="C45" s="106"/>
      <c r="D45" s="183"/>
      <c r="E45" s="183"/>
      <c r="F45" s="183"/>
      <c r="G45" s="183"/>
      <c r="H45" s="84"/>
      <c r="I45" s="18"/>
      <c r="J45" s="26"/>
      <c r="K45" s="19"/>
      <c r="L45" s="19"/>
      <c r="M45" s="19"/>
      <c r="N45" s="19"/>
      <c r="O45" s="27"/>
      <c r="Q45" s="69"/>
    </row>
    <row r="46" spans="2:17" ht="18.600000000000001" thickBot="1" x14ac:dyDescent="0.4">
      <c r="B46" s="110"/>
      <c r="C46" s="111"/>
      <c r="D46" s="112"/>
      <c r="E46" s="112"/>
      <c r="F46" s="112"/>
      <c r="G46" s="112"/>
      <c r="H46" s="113"/>
      <c r="I46" s="195"/>
      <c r="J46" s="31"/>
      <c r="K46" s="297"/>
      <c r="L46" s="297"/>
      <c r="M46" s="297"/>
      <c r="N46" s="297"/>
      <c r="O46" s="196"/>
      <c r="Q46" s="109" t="s">
        <v>101</v>
      </c>
    </row>
    <row r="47" spans="2:17" x14ac:dyDescent="0.3">
      <c r="J47" s="19"/>
      <c r="K47" s="19"/>
      <c r="L47" s="19"/>
      <c r="M47" s="19"/>
      <c r="N47" s="19"/>
      <c r="O47" s="19"/>
      <c r="Q47" s="12" t="s">
        <v>65</v>
      </c>
    </row>
    <row r="48" spans="2:17" x14ac:dyDescent="0.3">
      <c r="J48" s="19"/>
      <c r="K48" s="19"/>
      <c r="L48" s="19"/>
      <c r="M48" s="19"/>
      <c r="N48" s="19"/>
      <c r="O48" s="19"/>
    </row>
    <row r="49" spans="10:17" x14ac:dyDescent="0.3">
      <c r="J49" s="19"/>
      <c r="K49" s="19"/>
      <c r="L49" s="19"/>
      <c r="M49" s="19"/>
      <c r="N49" s="19"/>
      <c r="O49" s="19"/>
    </row>
    <row r="50" spans="10:17" x14ac:dyDescent="0.3">
      <c r="J50" s="18"/>
      <c r="K50" s="119"/>
      <c r="L50" s="47"/>
      <c r="M50" s="47"/>
      <c r="N50" s="120"/>
      <c r="O50" s="96"/>
    </row>
    <row r="51" spans="10:17" x14ac:dyDescent="0.3">
      <c r="J51" s="18"/>
      <c r="K51" s="119"/>
      <c r="L51" s="47"/>
      <c r="M51" s="47"/>
      <c r="N51" s="120"/>
      <c r="O51" s="96"/>
    </row>
    <row r="52" spans="10:17" x14ac:dyDescent="0.3">
      <c r="J52" s="18"/>
      <c r="K52" s="119"/>
      <c r="L52" s="47"/>
      <c r="M52" s="47"/>
      <c r="N52" s="120"/>
      <c r="O52" s="96"/>
      <c r="P52" s="58" t="e">
        <f>Подвесная!R52</f>
        <v>#REF!</v>
      </c>
      <c r="Q52" s="12" t="s">
        <v>52</v>
      </c>
    </row>
    <row r="53" spans="10:17" x14ac:dyDescent="0.3">
      <c r="J53" s="18"/>
      <c r="K53" s="119"/>
      <c r="L53" s="47"/>
      <c r="M53" s="47"/>
      <c r="N53" s="120"/>
      <c r="O53" s="96"/>
      <c r="P53" s="58" t="e">
        <f>Подвесная!R53</f>
        <v>#REF!</v>
      </c>
      <c r="Q53" s="102" t="s">
        <v>111</v>
      </c>
    </row>
    <row r="54" spans="10:17" x14ac:dyDescent="0.3">
      <c r="J54" s="18"/>
      <c r="K54" s="119"/>
      <c r="L54" s="47"/>
      <c r="M54" s="47"/>
      <c r="N54" s="120"/>
      <c r="O54" s="96"/>
      <c r="P54" s="58" t="e">
        <f>Подвесная!R54</f>
        <v>#REF!</v>
      </c>
      <c r="Q54" s="102" t="s">
        <v>104</v>
      </c>
    </row>
    <row r="55" spans="10:17" x14ac:dyDescent="0.3">
      <c r="J55" s="18"/>
      <c r="K55" s="119"/>
      <c r="L55" s="47"/>
      <c r="M55" s="47"/>
      <c r="N55" s="120"/>
      <c r="O55" s="96"/>
      <c r="P55" s="58" t="e">
        <f>Подвесная!R55</f>
        <v>#REF!</v>
      </c>
      <c r="Q55" s="12" t="s">
        <v>48</v>
      </c>
    </row>
    <row r="56" spans="10:17" x14ac:dyDescent="0.3">
      <c r="J56" s="18"/>
      <c r="K56" s="119"/>
      <c r="L56" s="47"/>
      <c r="M56" s="47"/>
      <c r="N56" s="120"/>
      <c r="O56" s="96"/>
      <c r="P56" s="58" t="e">
        <f>Подвесная!R56</f>
        <v>#REF!</v>
      </c>
    </row>
    <row r="57" spans="10:17" x14ac:dyDescent="0.3">
      <c r="J57" s="18"/>
      <c r="K57" s="119"/>
      <c r="L57" s="47"/>
      <c r="M57" s="47"/>
      <c r="N57" s="120"/>
      <c r="O57" s="96"/>
      <c r="P57" s="58" t="e">
        <f>Подвесная!R57</f>
        <v>#REF!</v>
      </c>
    </row>
    <row r="58" spans="10:17" x14ac:dyDescent="0.3">
      <c r="J58" s="18"/>
      <c r="K58" s="119"/>
      <c r="L58" s="47"/>
      <c r="M58" s="47"/>
      <c r="N58" s="120"/>
      <c r="O58" s="96"/>
      <c r="P58" s="58" t="e">
        <f>Подвесная!R58</f>
        <v>#REF!</v>
      </c>
      <c r="Q58" s="12" t="s">
        <v>139</v>
      </c>
    </row>
    <row r="59" spans="10:17" x14ac:dyDescent="0.3">
      <c r="J59" s="18"/>
      <c r="K59" s="119"/>
      <c r="L59" s="47"/>
      <c r="M59" s="47"/>
      <c r="N59" s="120"/>
      <c r="O59" s="96"/>
      <c r="P59" s="58" t="e">
        <f>Подвесная!R59</f>
        <v>#REF!</v>
      </c>
      <c r="Q59" s="12" t="s">
        <v>136</v>
      </c>
    </row>
    <row r="60" spans="10:17" x14ac:dyDescent="0.3">
      <c r="J60" s="18"/>
      <c r="K60" s="119"/>
      <c r="L60" s="47"/>
      <c r="M60" s="47"/>
      <c r="N60" s="120"/>
      <c r="O60" s="96"/>
      <c r="P60" s="58"/>
    </row>
    <row r="61" spans="10:17" x14ac:dyDescent="0.3">
      <c r="J61" s="292"/>
      <c r="K61" s="292"/>
      <c r="L61" s="292"/>
      <c r="M61" s="292"/>
      <c r="N61" s="292"/>
      <c r="O61" s="121"/>
    </row>
    <row r="62" spans="10:17" ht="15.75" customHeight="1" x14ac:dyDescent="0.3">
      <c r="J62" s="18"/>
      <c r="K62" s="18"/>
      <c r="L62" s="18"/>
      <c r="M62" s="18"/>
      <c r="N62" s="18"/>
      <c r="O62" s="18"/>
    </row>
    <row r="63" spans="10:17" ht="15.75" customHeight="1" x14ac:dyDescent="0.3">
      <c r="J63" s="19"/>
      <c r="K63" s="19"/>
      <c r="L63" s="19"/>
      <c r="M63" s="19"/>
      <c r="N63" s="19"/>
      <c r="O63" s="19"/>
      <c r="Q63" s="12" t="s">
        <v>140</v>
      </c>
    </row>
    <row r="64" spans="10:17" ht="15.75" customHeight="1" x14ac:dyDescent="0.3">
      <c r="J64" s="19"/>
      <c r="K64" s="19"/>
      <c r="L64" s="19"/>
      <c r="M64" s="19"/>
      <c r="N64" s="19"/>
      <c r="O64" s="19"/>
      <c r="Q64" s="12" t="s">
        <v>136</v>
      </c>
    </row>
    <row r="65" spans="10:18" ht="15.75" customHeight="1" x14ac:dyDescent="0.3">
      <c r="J65" s="19"/>
      <c r="K65" s="19"/>
      <c r="L65" s="19"/>
      <c r="M65" s="19"/>
      <c r="N65" s="19"/>
      <c r="O65" s="19"/>
    </row>
    <row r="66" spans="10:18" x14ac:dyDescent="0.3">
      <c r="J66" s="19"/>
      <c r="K66" s="19"/>
      <c r="L66" s="19"/>
      <c r="M66" s="19"/>
      <c r="N66" s="19"/>
      <c r="O66" s="19"/>
    </row>
    <row r="67" spans="10:18" x14ac:dyDescent="0.3">
      <c r="J67" s="19"/>
      <c r="K67" s="19"/>
      <c r="L67" s="19"/>
      <c r="M67" s="19"/>
      <c r="N67" s="19"/>
      <c r="O67" s="19"/>
      <c r="P67" s="12" t="s">
        <v>160</v>
      </c>
    </row>
    <row r="68" spans="10:18" x14ac:dyDescent="0.3">
      <c r="J68" s="19"/>
      <c r="K68" s="19"/>
      <c r="L68" s="19"/>
      <c r="M68" s="19"/>
      <c r="N68" s="19"/>
      <c r="O68" s="19"/>
      <c r="P68" s="12" t="s">
        <v>207</v>
      </c>
    </row>
    <row r="69" spans="10:18" x14ac:dyDescent="0.3">
      <c r="J69" s="19"/>
      <c r="K69" s="19"/>
      <c r="L69" s="19"/>
      <c r="M69" s="19"/>
      <c r="N69" s="19"/>
      <c r="O69" s="19"/>
    </row>
    <row r="70" spans="10:18" x14ac:dyDescent="0.3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3">
      <c r="P71" s="19"/>
      <c r="Q71" s="19"/>
      <c r="R71" s="19"/>
    </row>
    <row r="72" spans="10:18" x14ac:dyDescent="0.3">
      <c r="P72" s="19"/>
      <c r="Q72" s="19"/>
      <c r="R72" s="19"/>
    </row>
    <row r="73" spans="10:18" x14ac:dyDescent="0.3">
      <c r="P73" s="19"/>
      <c r="Q73" s="19"/>
      <c r="R73" s="19"/>
    </row>
  </sheetData>
  <sheetProtection algorithmName="SHA-512" hashValue="/3C6/QfZVvS+Y5snTEBQUgYTM46T8WS0ebOvvR+U3LF8Hk/5AVNN9HV1qUcobDmMFe6lMizQ92aXyKgN4HXJvw==" saltValue="qW3H+OJei2y99fiQCvFLkw==" spinCount="100000" sheet="1" selectLockedCells="1"/>
  <mergeCells count="44">
    <mergeCell ref="E33:G33"/>
    <mergeCell ref="C34:D34"/>
    <mergeCell ref="C38:D38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  <mergeCell ref="J33:L33"/>
    <mergeCell ref="J61:N61"/>
    <mergeCell ref="L40:N40"/>
    <mergeCell ref="J21:L21"/>
    <mergeCell ref="J34:L34"/>
    <mergeCell ref="J36:L36"/>
    <mergeCell ref="J37:L37"/>
    <mergeCell ref="J38:L38"/>
    <mergeCell ref="J39:L39"/>
    <mergeCell ref="K46:N46"/>
    <mergeCell ref="J2:O2"/>
    <mergeCell ref="B1:O1"/>
    <mergeCell ref="D9:H9"/>
    <mergeCell ref="D8:H8"/>
    <mergeCell ref="B2:H2"/>
    <mergeCell ref="B3:C3"/>
    <mergeCell ref="J3:K3"/>
    <mergeCell ref="D4:H4"/>
    <mergeCell ref="D5:H5"/>
    <mergeCell ref="D6:H6"/>
    <mergeCell ref="D7:H7"/>
    <mergeCell ref="J8:M8"/>
    <mergeCell ref="D13:H13"/>
    <mergeCell ref="J18:O18"/>
    <mergeCell ref="D10:H10"/>
    <mergeCell ref="B18:H20"/>
    <mergeCell ref="D11:H11"/>
    <mergeCell ref="D12:H12"/>
    <mergeCell ref="D14:H14"/>
  </mergeCells>
  <conditionalFormatting sqref="K5:K6 L10:O17 N23:N32 N35 N38:N39">
    <cfRule type="expression" dxfId="88" priority="4">
      <formula>$C$5=0</formula>
    </cfRule>
  </conditionalFormatting>
  <conditionalFormatting sqref="D5:H7 D9:H14">
    <cfRule type="expression" dxfId="87" priority="5">
      <formula>$C5=0</formula>
    </cfRule>
  </conditionalFormatting>
  <conditionalFormatting sqref="C9">
    <cfRule type="cellIs" dxfId="86" priority="60" operator="greaterThan">
      <formula>0</formula>
    </cfRule>
  </conditionalFormatting>
  <conditionalFormatting sqref="O10">
    <cfRule type="expression" dxfId="85" priority="59">
      <formula>$C$5=0</formula>
    </cfRule>
  </conditionalFormatting>
  <conditionalFormatting sqref="O14:O16">
    <cfRule type="expression" dxfId="84" priority="58">
      <formula>$C$5=0</formula>
    </cfRule>
  </conditionalFormatting>
  <conditionalFormatting sqref="O17">
    <cfRule type="expression" dxfId="83" priority="57">
      <formula>$C$5=0</formula>
    </cfRule>
  </conditionalFormatting>
  <conditionalFormatting sqref="O46">
    <cfRule type="expression" dxfId="82" priority="54">
      <formula>$C$5=0</formula>
    </cfRule>
  </conditionalFormatting>
  <conditionalFormatting sqref="O11">
    <cfRule type="expression" dxfId="81" priority="53">
      <formula>$C$5=0</formula>
    </cfRule>
  </conditionalFormatting>
  <conditionalFormatting sqref="O12">
    <cfRule type="expression" dxfId="80" priority="52">
      <formula>$C$5=0</formula>
    </cfRule>
  </conditionalFormatting>
  <conditionalFormatting sqref="O13">
    <cfRule type="expression" dxfId="79" priority="51">
      <formula>$C$5=0</formula>
    </cfRule>
  </conditionalFormatting>
  <conditionalFormatting sqref="C13">
    <cfRule type="cellIs" dxfId="78" priority="31" operator="greaterThan">
      <formula>0</formula>
    </cfRule>
  </conditionalFormatting>
  <conditionalFormatting sqref="D13:H13">
    <cfRule type="expression" dxfId="77" priority="30">
      <formula>$C$6=0</formula>
    </cfRule>
  </conditionalFormatting>
  <conditionalFormatting sqref="C14">
    <cfRule type="cellIs" dxfId="76" priority="27" operator="greaterThan">
      <formula>0</formula>
    </cfRule>
  </conditionalFormatting>
  <conditionalFormatting sqref="D14:H14">
    <cfRule type="expression" dxfId="75" priority="26">
      <formula>$C$5=0</formula>
    </cfRule>
  </conditionalFormatting>
  <conditionalFormatting sqref="N33">
    <cfRule type="expression" dxfId="74" priority="20">
      <formula>$C$5=0</formula>
    </cfRule>
  </conditionalFormatting>
  <conditionalFormatting sqref="N36">
    <cfRule type="expression" dxfId="73" priority="16">
      <formula>$C$5=0</formula>
    </cfRule>
  </conditionalFormatting>
  <conditionalFormatting sqref="N34">
    <cfRule type="expression" dxfId="72" priority="18">
      <formula>$C$5=0</formula>
    </cfRule>
  </conditionalFormatting>
  <conditionalFormatting sqref="N37">
    <cfRule type="expression" dxfId="71" priority="17">
      <formula>$C$5=0</formula>
    </cfRule>
  </conditionalFormatting>
  <conditionalFormatting sqref="K5">
    <cfRule type="expression" dxfId="70" priority="11">
      <formula>AND(OR($K$5&lt;300,$K$5&gt;600),$C$5&gt;0)</formula>
    </cfRule>
  </conditionalFormatting>
  <conditionalFormatting sqref="D11:H12">
    <cfRule type="expression" dxfId="69" priority="10">
      <formula>$C$5=0</formula>
    </cfRule>
  </conditionalFormatting>
  <conditionalFormatting sqref="E28 H33 F28:H32">
    <cfRule type="expression" dxfId="68" priority="9">
      <formula>$C$5=0</formula>
    </cfRule>
  </conditionalFormatting>
  <conditionalFormatting sqref="N38">
    <cfRule type="expression" dxfId="67" priority="7">
      <formula>$C$4=0</formula>
    </cfRule>
  </conditionalFormatting>
  <conditionalFormatting sqref="K6">
    <cfRule type="expression" dxfId="66" priority="77">
      <formula>$K$6&gt;3200</formula>
    </cfRule>
  </conditionalFormatting>
  <conditionalFormatting sqref="C8">
    <cfRule type="cellIs" dxfId="65" priority="2" operator="greaterThan">
      <formula>0</formula>
    </cfRule>
  </conditionalFormatting>
  <conditionalFormatting sqref="D8:H8">
    <cfRule type="expression" dxfId="64" priority="1">
      <formula>$C$6=0</formula>
    </cfRule>
  </conditionalFormatting>
  <conditionalFormatting sqref="D5">
    <cfRule type="expression" dxfId="63" priority="215">
      <formula>$D$5=$Q$63</formula>
    </cfRule>
  </conditionalFormatting>
  <conditionalFormatting sqref="C38">
    <cfRule type="expression" dxfId="62" priority="216">
      <formula>$C$38=$Q$46</formula>
    </cfRule>
  </conditionalFormatting>
  <conditionalFormatting sqref="C34">
    <cfRule type="expression" dxfId="61" priority="217">
      <formula>$C$34=$Q$43</formula>
    </cfRule>
  </conditionalFormatting>
  <conditionalFormatting sqref="C34:D34">
    <cfRule type="expression" dxfId="60" priority="218">
      <formula>$C$34=$Q$42</formula>
    </cfRule>
  </conditionalFormatting>
  <conditionalFormatting sqref="D6:H6">
    <cfRule type="expression" dxfId="59" priority="219">
      <formula>$D$6=$Q$58</formula>
    </cfRule>
  </conditionalFormatting>
  <conditionalFormatting sqref="C10">
    <cfRule type="expression" dxfId="58" priority="220">
      <formula>AND($C$10=$Q$6,$C$9=$P$53)</formula>
    </cfRule>
  </conditionalFormatting>
  <dataValidations count="9">
    <dataValidation type="list" allowBlank="1" showInputMessage="1" showErrorMessage="1" sqref="C12">
      <formula1>$Q$19:$Q$20</formula1>
    </dataValidation>
    <dataValidation type="list" allowBlank="1" showInputMessage="1" showErrorMessage="1" sqref="C10">
      <formula1>$Q$6:$Q$7</formula1>
    </dataValidation>
    <dataValidation type="list" allowBlank="1" showInputMessage="1" showErrorMessage="1" sqref="C11">
      <formula1>$Q$10:$Q$11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8:C32">
      <formula1>$Q$14:$Q$16</formula1>
    </dataValidation>
    <dataValidation type="list" allowBlank="1" showInputMessage="1" showErrorMessage="1" sqref="C13">
      <formula1>$Q$54:$Q$55</formula1>
    </dataValidation>
    <dataValidation type="whole" allowBlank="1" showInputMessage="1" showErrorMessage="1" sqref="C14">
      <formula1>150</formula1>
      <formula2>K6</formula2>
    </dataValidation>
    <dataValidation type="list" allowBlank="1" showInputMessage="1" showErrorMessage="1" sqref="C9">
      <formula1>$P$52:$P$59</formula1>
    </dataValidation>
    <dataValidation type="list" allowBlank="1" showInputMessage="1" showErrorMessage="1" sqref="C8">
      <formula1>$S$2:$S$3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W67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0.88671875" style="69" customWidth="1"/>
    <col min="2" max="2" width="43.109375" style="69" customWidth="1"/>
    <col min="3" max="3" width="29.6640625" style="69" customWidth="1"/>
    <col min="4" max="8" width="14.6640625" style="69" customWidth="1"/>
    <col min="9" max="9" width="2" style="69" customWidth="1"/>
    <col min="10" max="10" width="25.33203125" style="69" customWidth="1"/>
    <col min="11" max="11" width="15.109375" style="69" customWidth="1"/>
    <col min="12" max="12" width="12.5546875" style="69" customWidth="1"/>
    <col min="13" max="13" width="15.77734375" style="69" customWidth="1"/>
    <col min="14" max="14" width="14" style="69" customWidth="1"/>
    <col min="15" max="15" width="16.6640625" style="69" customWidth="1"/>
    <col min="16" max="16" width="1.109375" style="69" customWidth="1"/>
    <col min="17" max="17" width="23.44140625" style="69" hidden="1" customWidth="1"/>
    <col min="18" max="18" width="19.44140625" style="69" hidden="1" customWidth="1"/>
    <col min="19" max="19" width="8.88671875" style="69" hidden="1" customWidth="1"/>
    <col min="20" max="20" width="16.77734375" style="69" hidden="1" customWidth="1"/>
    <col min="21" max="21" width="26.77734375" style="69" hidden="1" customWidth="1"/>
    <col min="22" max="22" width="18.5546875" style="69" hidden="1" customWidth="1"/>
    <col min="23" max="23" width="8.88671875" style="69" hidden="1" customWidth="1"/>
    <col min="24" max="24" width="8.88671875" style="69" customWidth="1"/>
    <col min="25" max="16384" width="8.88671875" style="69"/>
  </cols>
  <sheetData>
    <row r="1" spans="2:23" ht="18.600000000000001" thickBot="1" x14ac:dyDescent="0.35">
      <c r="B1" s="318" t="s">
        <v>72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  <c r="P1" s="122"/>
    </row>
    <row r="2" spans="2:23" s="13" customFormat="1" x14ac:dyDescent="0.3">
      <c r="B2" s="261" t="s">
        <v>76</v>
      </c>
      <c r="C2" s="262"/>
      <c r="D2" s="262"/>
      <c r="E2" s="262"/>
      <c r="F2" s="262"/>
      <c r="G2" s="262"/>
      <c r="H2" s="263"/>
      <c r="I2" s="134"/>
      <c r="J2" s="269" t="s">
        <v>77</v>
      </c>
      <c r="K2" s="270"/>
      <c r="L2" s="270"/>
      <c r="M2" s="270"/>
      <c r="N2" s="270"/>
      <c r="O2" s="271"/>
      <c r="P2" s="60"/>
      <c r="T2" s="13" t="e">
        <f>IF(C9=Q52,O13*#REF!,IF(C9=Q53,O13*#REF!,IF(OR(C9=Q58,C9=Q59),O13*#REF!,#REF!)))</f>
        <v>#REF!</v>
      </c>
      <c r="U2" s="12" t="s">
        <v>205</v>
      </c>
      <c r="V2" s="12" t="s">
        <v>204</v>
      </c>
      <c r="W2" s="13">
        <f>IF(C8=U2,9,8)</f>
        <v>8</v>
      </c>
    </row>
    <row r="3" spans="2:23" s="123" customFormat="1" ht="15.6" x14ac:dyDescent="0.3">
      <c r="B3" s="264" t="s">
        <v>16</v>
      </c>
      <c r="C3" s="265"/>
      <c r="D3" s="14"/>
      <c r="E3" s="14"/>
      <c r="F3" s="14"/>
      <c r="G3" s="14"/>
      <c r="H3" s="15"/>
      <c r="I3" s="14"/>
      <c r="J3" s="264" t="s">
        <v>71</v>
      </c>
      <c r="K3" s="265"/>
      <c r="L3" s="14"/>
      <c r="M3" s="14"/>
      <c r="N3" s="14"/>
      <c r="O3" s="15"/>
      <c r="P3" s="14"/>
      <c r="T3" s="123" t="e">
        <f>IF(C9=Q52,O13*#REF!,IF(C9=Q53,O13*#REF!,IF(C9=Q54,O13*#REF!,IF(C9=Q55,O13*#REF!,O13*#REF!))))</f>
        <v>#REF!</v>
      </c>
      <c r="U3" s="12" t="s">
        <v>206</v>
      </c>
      <c r="V3" s="12" t="s">
        <v>149</v>
      </c>
    </row>
    <row r="4" spans="2:23" ht="15.6" x14ac:dyDescent="0.3">
      <c r="B4" s="48" t="s">
        <v>5</v>
      </c>
      <c r="C4" s="178" t="s">
        <v>17</v>
      </c>
      <c r="D4" s="266" t="s">
        <v>20</v>
      </c>
      <c r="E4" s="267"/>
      <c r="F4" s="267"/>
      <c r="G4" s="267"/>
      <c r="H4" s="268"/>
      <c r="I4" s="18"/>
      <c r="J4" s="48" t="s">
        <v>0</v>
      </c>
      <c r="K4" s="178" t="s">
        <v>17</v>
      </c>
      <c r="L4" s="18"/>
      <c r="M4" s="18"/>
      <c r="N4" s="18"/>
      <c r="O4" s="25"/>
      <c r="P4" s="18"/>
      <c r="R4" s="124"/>
    </row>
    <row r="5" spans="2:23" ht="20.100000000000001" customHeight="1" x14ac:dyDescent="0.3">
      <c r="B5" s="42" t="s">
        <v>93</v>
      </c>
      <c r="C5" s="23">
        <v>1000</v>
      </c>
      <c r="D5" s="315" t="str">
        <f>IF(OR(K5&lt;200,K5&gt;700),R58,R59)</f>
        <v>допустимо</v>
      </c>
      <c r="E5" s="316"/>
      <c r="F5" s="316"/>
      <c r="G5" s="316"/>
      <c r="H5" s="317"/>
      <c r="I5" s="18"/>
      <c r="J5" s="125" t="s">
        <v>22</v>
      </c>
      <c r="K5" s="126">
        <f>IF(C10=R67,(C5-10*C11)/C11,ROUNDDOWN(IF(OR(C13=R39,C13=R40),(C5-4*C11)/C11,IF(OR(C13=R41,C13=R42),(C5-10*C11)/C11)),0))</f>
        <v>490</v>
      </c>
      <c r="L5" s="18"/>
      <c r="M5" s="127"/>
      <c r="N5" s="127"/>
      <c r="O5" s="197"/>
      <c r="P5" s="18"/>
      <c r="R5" s="124">
        <v>1</v>
      </c>
    </row>
    <row r="6" spans="2:23" ht="20.100000000000001" customHeight="1" x14ac:dyDescent="0.3">
      <c r="B6" s="42" t="s">
        <v>94</v>
      </c>
      <c r="C6" s="23">
        <v>2600</v>
      </c>
      <c r="D6" s="315" t="str">
        <f>IF(K6&gt;3200,R62,R63)</f>
        <v>допустимо</v>
      </c>
      <c r="E6" s="316"/>
      <c r="F6" s="316"/>
      <c r="G6" s="316"/>
      <c r="H6" s="317"/>
      <c r="I6" s="18"/>
      <c r="J6" s="125" t="s">
        <v>21</v>
      </c>
      <c r="K6" s="126">
        <f>C6-20</f>
        <v>2580</v>
      </c>
      <c r="L6" s="18"/>
      <c r="M6" s="18"/>
      <c r="N6" s="47"/>
      <c r="O6" s="25"/>
      <c r="P6" s="18"/>
      <c r="R6" s="124">
        <v>2</v>
      </c>
    </row>
    <row r="7" spans="2:23" ht="20.100000000000001" customHeight="1" x14ac:dyDescent="0.3">
      <c r="B7" s="42" t="s">
        <v>95</v>
      </c>
      <c r="C7" s="24">
        <v>0</v>
      </c>
      <c r="D7" s="281" t="s">
        <v>15</v>
      </c>
      <c r="E7" s="281"/>
      <c r="F7" s="281"/>
      <c r="G7" s="281"/>
      <c r="H7" s="283"/>
      <c r="I7" s="18"/>
      <c r="J7" s="128"/>
      <c r="K7" s="18"/>
      <c r="L7" s="18"/>
      <c r="M7" s="18"/>
      <c r="N7" s="18"/>
      <c r="O7" s="25"/>
      <c r="P7" s="18"/>
    </row>
    <row r="8" spans="2:23" ht="20.100000000000001" customHeight="1" x14ac:dyDescent="0.3">
      <c r="B8" s="42" t="s">
        <v>203</v>
      </c>
      <c r="C8" s="24" t="s">
        <v>206</v>
      </c>
      <c r="D8" s="218"/>
      <c r="E8" s="215"/>
      <c r="F8" s="215"/>
      <c r="G8" s="215"/>
      <c r="H8" s="219"/>
      <c r="I8" s="18"/>
      <c r="J8" s="264" t="s">
        <v>143</v>
      </c>
      <c r="K8" s="265"/>
      <c r="L8" s="265"/>
      <c r="M8" s="265"/>
      <c r="N8" s="177"/>
      <c r="O8" s="62"/>
      <c r="P8" s="14"/>
    </row>
    <row r="9" spans="2:23" ht="35.1" customHeight="1" x14ac:dyDescent="0.3">
      <c r="B9" s="42" t="s">
        <v>96</v>
      </c>
      <c r="C9" s="24" t="s">
        <v>195</v>
      </c>
      <c r="D9" s="281"/>
      <c r="E9" s="281"/>
      <c r="F9" s="281"/>
      <c r="G9" s="281"/>
      <c r="H9" s="283"/>
      <c r="I9" s="18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  <c r="P9" s="18"/>
      <c r="R9" s="85" t="s">
        <v>12</v>
      </c>
    </row>
    <row r="10" spans="2:23" ht="35.1" customHeight="1" x14ac:dyDescent="0.3">
      <c r="B10" s="42" t="s">
        <v>199</v>
      </c>
      <c r="C10" s="24" t="s">
        <v>198</v>
      </c>
      <c r="D10" s="281" t="s">
        <v>200</v>
      </c>
      <c r="E10" s="281"/>
      <c r="F10" s="281"/>
      <c r="G10" s="281"/>
      <c r="H10" s="283"/>
      <c r="I10" s="18"/>
      <c r="J10" s="185" t="s">
        <v>2</v>
      </c>
      <c r="K10" s="180" t="s">
        <v>146</v>
      </c>
      <c r="L10" s="147">
        <f>K6</f>
        <v>2580</v>
      </c>
      <c r="M10" s="148">
        <f>IF(AND(C6&gt;0,C11=R5),2,IF(AND(C6&gt;0,C11=R6),4,0))</f>
        <v>4</v>
      </c>
      <c r="N10" s="148"/>
      <c r="O10" s="191">
        <f>IF(L10&gt;2650,M10,M10/2)</f>
        <v>2</v>
      </c>
      <c r="P10" s="18"/>
      <c r="R10" s="85" t="s">
        <v>13</v>
      </c>
    </row>
    <row r="11" spans="2:23" ht="35.1" customHeight="1" x14ac:dyDescent="0.3">
      <c r="B11" s="65" t="s">
        <v>98</v>
      </c>
      <c r="C11" s="28">
        <v>2</v>
      </c>
      <c r="D11" s="281" t="s">
        <v>29</v>
      </c>
      <c r="E11" s="281"/>
      <c r="F11" s="281"/>
      <c r="G11" s="281"/>
      <c r="H11" s="283"/>
      <c r="I11" s="18"/>
      <c r="J11" s="185" t="s">
        <v>3</v>
      </c>
      <c r="K11" s="180" t="s">
        <v>147</v>
      </c>
      <c r="L11" s="147">
        <f>K5-78</f>
        <v>412</v>
      </c>
      <c r="M11" s="148">
        <f>IF(C5=0,0,IF(C10=R66,C11,C11*2))</f>
        <v>4</v>
      </c>
      <c r="N11" s="188">
        <f t="shared" ref="N11:N14" si="0">L11*M11</f>
        <v>1648</v>
      </c>
      <c r="O11" s="191">
        <f>CEILING((L11*M11)/5000,1)</f>
        <v>1</v>
      </c>
      <c r="P11" s="18"/>
      <c r="R11" s="85" t="s">
        <v>14</v>
      </c>
    </row>
    <row r="12" spans="2:23" ht="35.1" customHeight="1" x14ac:dyDescent="0.3">
      <c r="B12" s="65" t="s">
        <v>123</v>
      </c>
      <c r="C12" s="39" t="s">
        <v>125</v>
      </c>
      <c r="D12" s="281" t="s">
        <v>126</v>
      </c>
      <c r="E12" s="281"/>
      <c r="F12" s="281"/>
      <c r="G12" s="281"/>
      <c r="H12" s="283"/>
      <c r="I12" s="18"/>
      <c r="J12" s="185" t="s">
        <v>4</v>
      </c>
      <c r="K12" s="180" t="s">
        <v>148</v>
      </c>
      <c r="L12" s="147">
        <f>K5-78</f>
        <v>412</v>
      </c>
      <c r="M12" s="148">
        <f>IF(C5=0,0,IF(C10=R66,C11,0))</f>
        <v>0</v>
      </c>
      <c r="N12" s="188">
        <f t="shared" si="0"/>
        <v>0</v>
      </c>
      <c r="O12" s="191">
        <f>CEILING((L12*M12)/5000,1)</f>
        <v>0</v>
      </c>
      <c r="P12" s="18"/>
      <c r="R12" s="18"/>
    </row>
    <row r="13" spans="2:23" ht="35.1" customHeight="1" x14ac:dyDescent="0.3">
      <c r="B13" s="73" t="s">
        <v>110</v>
      </c>
      <c r="C13" s="30" t="s">
        <v>104</v>
      </c>
      <c r="D13" s="223" t="s">
        <v>202</v>
      </c>
      <c r="E13" s="218"/>
      <c r="F13" s="218"/>
      <c r="G13" s="218"/>
      <c r="H13" s="219"/>
      <c r="I13" s="18"/>
      <c r="J13" s="168" t="str">
        <f>C8</f>
        <v>Рамка средняя 4в1</v>
      </c>
      <c r="K13" s="180" t="str">
        <f>IF(J13=U2,V2,V3)</f>
        <v>FA0412.VP500</v>
      </c>
      <c r="L13" s="147">
        <f>IF(AND(C8=U3,C7&gt;0),K5-78,IF(AND(C8=U2,C7&gt;0),K5-76,0))</f>
        <v>0</v>
      </c>
      <c r="M13" s="148">
        <f>C7*C11</f>
        <v>0</v>
      </c>
      <c r="N13" s="188">
        <f t="shared" si="0"/>
        <v>0</v>
      </c>
      <c r="O13" s="191">
        <f>CEILING((L13*M13)/5000,1)</f>
        <v>0</v>
      </c>
      <c r="P13" s="18"/>
      <c r="R13" s="18"/>
    </row>
    <row r="14" spans="2:23" ht="37.200000000000003" customHeight="1" x14ac:dyDescent="0.3">
      <c r="B14" s="74" t="s">
        <v>128</v>
      </c>
      <c r="C14" s="40">
        <v>0</v>
      </c>
      <c r="D14" s="218" t="s">
        <v>120</v>
      </c>
      <c r="E14" s="218"/>
      <c r="F14" s="218"/>
      <c r="G14" s="218"/>
      <c r="H14" s="219"/>
      <c r="I14" s="18"/>
      <c r="J14" s="185" t="s">
        <v>23</v>
      </c>
      <c r="K14" s="180" t="s">
        <v>162</v>
      </c>
      <c r="L14" s="147">
        <f>C15</f>
        <v>540</v>
      </c>
      <c r="M14" s="148">
        <f>C11</f>
        <v>2</v>
      </c>
      <c r="N14" s="188">
        <f t="shared" si="0"/>
        <v>1080</v>
      </c>
      <c r="O14" s="198">
        <f>CEILING((L14*M14)/5400,1)</f>
        <v>1</v>
      </c>
      <c r="P14" s="18"/>
    </row>
    <row r="15" spans="2:23" ht="15.6" x14ac:dyDescent="0.3">
      <c r="B15" s="129" t="s">
        <v>130</v>
      </c>
      <c r="C15" s="57">
        <v>540</v>
      </c>
      <c r="D15" s="302" t="s">
        <v>131</v>
      </c>
      <c r="E15" s="302"/>
      <c r="F15" s="302"/>
      <c r="G15" s="302"/>
      <c r="H15" s="303"/>
      <c r="I15" s="18"/>
      <c r="J15" s="276"/>
      <c r="K15" s="277"/>
      <c r="L15" s="277"/>
      <c r="M15" s="277"/>
      <c r="N15" s="277"/>
      <c r="O15" s="278"/>
      <c r="P15" s="18"/>
    </row>
    <row r="16" spans="2:23" ht="36.6" thickBot="1" x14ac:dyDescent="0.35">
      <c r="B16" s="130" t="s">
        <v>138</v>
      </c>
      <c r="C16" s="37" t="s">
        <v>70</v>
      </c>
      <c r="D16" s="287"/>
      <c r="E16" s="287"/>
      <c r="F16" s="287"/>
      <c r="G16" s="287"/>
      <c r="H16" s="288"/>
      <c r="I16" s="18"/>
      <c r="J16" s="176"/>
      <c r="K16" s="177"/>
      <c r="L16" s="177"/>
      <c r="M16" s="177"/>
      <c r="N16" s="177"/>
      <c r="O16" s="62"/>
      <c r="P16" s="18"/>
      <c r="R16" s="61">
        <v>0</v>
      </c>
    </row>
    <row r="17" spans="2:18" ht="15.6" x14ac:dyDescent="0.3">
      <c r="B17" s="128"/>
      <c r="C17" s="18"/>
      <c r="D17" s="18"/>
      <c r="E17" s="18"/>
      <c r="F17" s="18"/>
      <c r="G17" s="18"/>
      <c r="H17" s="18"/>
      <c r="I17" s="18"/>
      <c r="J17" s="131"/>
      <c r="K17" s="21"/>
      <c r="L17" s="21"/>
      <c r="M17" s="18"/>
      <c r="N17" s="18"/>
      <c r="O17" s="77"/>
      <c r="P17" s="18"/>
      <c r="R17" s="61">
        <v>1</v>
      </c>
    </row>
    <row r="18" spans="2:18" ht="16.2" thickBot="1" x14ac:dyDescent="0.35">
      <c r="B18" s="264" t="s">
        <v>28</v>
      </c>
      <c r="C18" s="265"/>
      <c r="D18" s="265"/>
      <c r="E18" s="265"/>
      <c r="F18" s="265"/>
      <c r="G18" s="265"/>
      <c r="H18" s="265"/>
      <c r="I18" s="18"/>
      <c r="J18" s="264" t="s">
        <v>142</v>
      </c>
      <c r="K18" s="265"/>
      <c r="L18" s="265"/>
      <c r="M18" s="177"/>
      <c r="N18" s="18"/>
      <c r="O18" s="25"/>
      <c r="P18" s="18"/>
      <c r="R18" s="61">
        <v>2</v>
      </c>
    </row>
    <row r="19" spans="2:18" ht="15.6" x14ac:dyDescent="0.3">
      <c r="B19" s="304" t="s">
        <v>113</v>
      </c>
      <c r="C19" s="305"/>
      <c r="D19" s="305"/>
      <c r="E19" s="305"/>
      <c r="F19" s="305"/>
      <c r="G19" s="305"/>
      <c r="H19" s="305"/>
      <c r="I19" s="18"/>
      <c r="J19" s="300" t="s">
        <v>0</v>
      </c>
      <c r="K19" s="301"/>
      <c r="L19" s="301"/>
      <c r="M19" s="184" t="s">
        <v>1</v>
      </c>
      <c r="N19" s="184" t="s">
        <v>10</v>
      </c>
      <c r="O19" s="25"/>
      <c r="P19" s="18"/>
      <c r="R19" s="61">
        <v>3</v>
      </c>
    </row>
    <row r="20" spans="2:18" ht="15.6" x14ac:dyDescent="0.3">
      <c r="B20" s="304"/>
      <c r="C20" s="305"/>
      <c r="D20" s="305"/>
      <c r="E20" s="305"/>
      <c r="F20" s="305"/>
      <c r="G20" s="305"/>
      <c r="H20" s="305"/>
      <c r="I20" s="18"/>
      <c r="J20" s="306" t="s">
        <v>37</v>
      </c>
      <c r="K20" s="307"/>
      <c r="L20" s="307"/>
      <c r="M20" s="180" t="s">
        <v>163</v>
      </c>
      <c r="N20" s="149">
        <f>IF(C10=R66,C11,0)</f>
        <v>0</v>
      </c>
      <c r="O20" s="25"/>
      <c r="P20" s="18"/>
      <c r="R20" s="61">
        <v>4</v>
      </c>
    </row>
    <row r="21" spans="2:18" ht="15.6" x14ac:dyDescent="0.3">
      <c r="B21" s="304"/>
      <c r="C21" s="305"/>
      <c r="D21" s="305"/>
      <c r="E21" s="305"/>
      <c r="F21" s="305"/>
      <c r="G21" s="305"/>
      <c r="H21" s="305"/>
      <c r="I21" s="18"/>
      <c r="J21" s="306" t="s">
        <v>45</v>
      </c>
      <c r="K21" s="307"/>
      <c r="L21" s="307"/>
      <c r="M21" s="180" t="s">
        <v>164</v>
      </c>
      <c r="N21" s="149">
        <f>IF(C12=R34,C11,0)</f>
        <v>0</v>
      </c>
      <c r="O21" s="25"/>
      <c r="P21" s="18"/>
    </row>
    <row r="22" spans="2:18" ht="15.6" x14ac:dyDescent="0.3">
      <c r="B22" s="128"/>
      <c r="C22" s="18"/>
      <c r="D22" s="18"/>
      <c r="E22" s="18"/>
      <c r="F22" s="18"/>
      <c r="G22" s="18"/>
      <c r="H22" s="18"/>
      <c r="I22" s="18"/>
      <c r="J22" s="308" t="s">
        <v>106</v>
      </c>
      <c r="K22" s="309"/>
      <c r="L22" s="309"/>
      <c r="M22" s="180" t="s">
        <v>165</v>
      </c>
      <c r="N22" s="148">
        <f>IF(C12=R35,C11,0)</f>
        <v>0</v>
      </c>
      <c r="O22" s="25"/>
      <c r="P22" s="18"/>
    </row>
    <row r="23" spans="2:18" ht="18.600000000000001" thickBot="1" x14ac:dyDescent="0.35">
      <c r="B23" s="192" t="s">
        <v>114</v>
      </c>
      <c r="C23" s="193"/>
      <c r="D23" s="193"/>
      <c r="E23" s="193"/>
      <c r="F23" s="193"/>
      <c r="G23" s="193"/>
      <c r="H23" s="193"/>
      <c r="I23" s="194"/>
      <c r="J23" s="308" t="s">
        <v>107</v>
      </c>
      <c r="K23" s="309"/>
      <c r="L23" s="309"/>
      <c r="M23" s="180" t="s">
        <v>166</v>
      </c>
      <c r="N23" s="148">
        <f>IF(C12=R36,C11,0)</f>
        <v>2</v>
      </c>
      <c r="O23" s="25"/>
      <c r="P23" s="18"/>
    </row>
    <row r="24" spans="2:18" ht="18.600000000000001" thickBot="1" x14ac:dyDescent="0.35">
      <c r="B24" s="78"/>
      <c r="C24" s="79"/>
      <c r="D24" s="79"/>
      <c r="E24" s="79"/>
      <c r="F24" s="79"/>
      <c r="G24" s="79"/>
      <c r="H24" s="80"/>
      <c r="I24" s="194"/>
      <c r="J24" s="306" t="s">
        <v>33</v>
      </c>
      <c r="K24" s="307"/>
      <c r="L24" s="307"/>
      <c r="M24" s="180" t="s">
        <v>167</v>
      </c>
      <c r="N24" s="150">
        <f>IF(C15&lt;500,2*C11,C11*ROUNDDOWN((C15/500+1),0))</f>
        <v>4</v>
      </c>
      <c r="O24" s="25"/>
      <c r="P24" s="18"/>
    </row>
    <row r="25" spans="2:18" ht="18.600000000000001" thickBot="1" x14ac:dyDescent="0.4">
      <c r="B25" s="81" t="s">
        <v>79</v>
      </c>
      <c r="C25" s="82">
        <f>C7+1</f>
        <v>1</v>
      </c>
      <c r="D25" s="117"/>
      <c r="E25" s="117"/>
      <c r="F25" s="117"/>
      <c r="G25" s="117"/>
      <c r="H25" s="84"/>
      <c r="I25" s="194"/>
      <c r="J25" s="306" t="s">
        <v>35</v>
      </c>
      <c r="K25" s="307"/>
      <c r="L25" s="307"/>
      <c r="M25" s="180" t="s">
        <v>168</v>
      </c>
      <c r="N25" s="149">
        <f>C11</f>
        <v>2</v>
      </c>
      <c r="O25" s="25"/>
      <c r="P25" s="18"/>
      <c r="Q25" s="12"/>
    </row>
    <row r="26" spans="2:18" ht="18" x14ac:dyDescent="0.3">
      <c r="B26" s="86"/>
      <c r="C26" s="87"/>
      <c r="D26" s="87"/>
      <c r="E26" s="87"/>
      <c r="F26" s="87"/>
      <c r="G26" s="87"/>
      <c r="H26" s="88"/>
      <c r="I26" s="18"/>
      <c r="J26" s="252" t="s">
        <v>189</v>
      </c>
      <c r="K26" s="253"/>
      <c r="L26" s="253"/>
      <c r="M26" s="174" t="s">
        <v>154</v>
      </c>
      <c r="N26" s="150">
        <f>M11*2+M12*2+M13*2</f>
        <v>8</v>
      </c>
      <c r="O26" s="25"/>
      <c r="P26" s="18"/>
    </row>
    <row r="27" spans="2:18" ht="18" x14ac:dyDescent="0.3">
      <c r="B27" s="86"/>
      <c r="C27" s="87"/>
      <c r="D27" s="87"/>
      <c r="E27" s="87"/>
      <c r="F27" s="87"/>
      <c r="G27" s="87"/>
      <c r="H27" s="88"/>
      <c r="I27" s="18"/>
      <c r="J27" s="306" t="s">
        <v>53</v>
      </c>
      <c r="K27" s="307"/>
      <c r="L27" s="307"/>
      <c r="M27" s="174" t="s">
        <v>155</v>
      </c>
      <c r="N27" s="151">
        <f>ROUNDUP((IF(C29=R10,(E29+F29)*2*G29,0)+IF(C30=R10,(E30+F30)*2*G30,0)+IF(C31=R10,(E31+F31)*2*G31,0)+IF(C32=R10,(E32+F32)*2*G32,0)+IF(C33=R10,(E33+F33)*2*G33,0))/1000,0)</f>
        <v>0</v>
      </c>
      <c r="O27" s="25"/>
      <c r="P27" s="18"/>
    </row>
    <row r="28" spans="2:18" ht="18" x14ac:dyDescent="0.3">
      <c r="B28" s="89" t="s">
        <v>80</v>
      </c>
      <c r="C28" s="182" t="s">
        <v>81</v>
      </c>
      <c r="D28" s="90" t="s">
        <v>50</v>
      </c>
      <c r="E28" s="182" t="s">
        <v>82</v>
      </c>
      <c r="F28" s="182" t="s">
        <v>83</v>
      </c>
      <c r="G28" s="182" t="s">
        <v>102</v>
      </c>
      <c r="H28" s="91" t="s">
        <v>103</v>
      </c>
      <c r="I28" s="18"/>
      <c r="J28" s="308" t="s">
        <v>54</v>
      </c>
      <c r="K28" s="309"/>
      <c r="L28" s="309"/>
      <c r="M28" s="174" t="s">
        <v>156</v>
      </c>
      <c r="N28" s="151">
        <f>ROUNDUP((IF(C29=R11,(E29+F29)*2*G29,0)+IF(C30=R11,(E30+F30)*2*G30,0)+IF(C31=R11,(E31+F31)*2*G31,0)+IF(C32=R11,(E32+F32)*2*G32,0)+IF(C33=R11,(E33+F33)*2*G33,0))/1000,0)</f>
        <v>12</v>
      </c>
      <c r="O28" s="25"/>
      <c r="P28" s="18"/>
    </row>
    <row r="29" spans="2:18" ht="18" x14ac:dyDescent="0.3">
      <c r="B29" s="92" t="s">
        <v>84</v>
      </c>
      <c r="C29" s="33" t="s">
        <v>14</v>
      </c>
      <c r="D29" s="114">
        <v>0</v>
      </c>
      <c r="E29" s="34">
        <f>K6-IF(E33=0,0,IF(C33=R9,E33,IF(C33=R10,E33+2,E33+3)))-IF(E32=0,0,IF(C32=R9,E32,IF(C32=R10,E32+2,E32+3)))-IF(E31=0,0,IF(C31=R9,E31,IF(C31=R10,E31+2,E31+3)))-IF(E30=0,0,IF(C30=R9,E30,IF(C30=R10,E30+2,E30+3)))-44-IF(C29=R10,2,IF(C29=R11,3,0))-C7*W2</f>
        <v>2533</v>
      </c>
      <c r="F29" s="93">
        <f>IF(C29=$R$11,$K$5-63,IF(C29=$R$10,$K$5-62,$K$5-60))</f>
        <v>427</v>
      </c>
      <c r="G29" s="94">
        <f>$C$11</f>
        <v>2</v>
      </c>
      <c r="H29" s="95">
        <f>E29*F29*D29*G29/1000000</f>
        <v>0</v>
      </c>
      <c r="I29" s="194">
        <f>IF(E29&lt;&gt;0,1,0)</f>
        <v>1</v>
      </c>
      <c r="J29" s="306" t="s">
        <v>52</v>
      </c>
      <c r="K29" s="307"/>
      <c r="L29" s="307"/>
      <c r="M29" s="174" t="s">
        <v>157</v>
      </c>
      <c r="N29" s="150">
        <f>IF(AND(C13=R39,C10=R66),N26,0)</f>
        <v>0</v>
      </c>
      <c r="O29" s="25"/>
      <c r="P29" s="18"/>
    </row>
    <row r="30" spans="2:18" ht="18" x14ac:dyDescent="0.3">
      <c r="B30" s="92" t="s">
        <v>85</v>
      </c>
      <c r="C30" s="33" t="s">
        <v>12</v>
      </c>
      <c r="D30" s="114">
        <v>0</v>
      </c>
      <c r="E30" s="35">
        <v>0</v>
      </c>
      <c r="F30" s="93">
        <f>IF(C30=$R$11,$K$5-63,IF(C30=$R$10,$K$5-62,$K$5-60))</f>
        <v>430</v>
      </c>
      <c r="G30" s="94">
        <f>IF(E30&lt;&gt;0,$C$11,0)</f>
        <v>0</v>
      </c>
      <c r="H30" s="95">
        <f t="shared" ref="H30:H33" si="1">E30*F30*D30*G30/1000000</f>
        <v>0</v>
      </c>
      <c r="I30" s="194">
        <f>IF(E30&lt;&gt;0,1,0)</f>
        <v>0</v>
      </c>
      <c r="J30" s="236" t="s">
        <v>122</v>
      </c>
      <c r="K30" s="237"/>
      <c r="L30" s="238"/>
      <c r="M30" s="173" t="s">
        <v>158</v>
      </c>
      <c r="N30" s="189">
        <f>IF(AND(C13=R40,C10=R66),N26,0)</f>
        <v>0</v>
      </c>
      <c r="O30" s="25"/>
      <c r="P30" s="18"/>
    </row>
    <row r="31" spans="2:18" ht="18" x14ac:dyDescent="0.3">
      <c r="B31" s="92" t="s">
        <v>86</v>
      </c>
      <c r="C31" s="33" t="s">
        <v>12</v>
      </c>
      <c r="D31" s="114">
        <v>0</v>
      </c>
      <c r="E31" s="35">
        <v>0</v>
      </c>
      <c r="F31" s="93">
        <f>IF(C31=$R$11,$K$5-63,IF(C31=$R$10,$K$5-62,$K$5-60))</f>
        <v>430</v>
      </c>
      <c r="G31" s="94">
        <f>IF(E31&lt;&gt;0,$C$11,0)</f>
        <v>0</v>
      </c>
      <c r="H31" s="95">
        <f t="shared" si="1"/>
        <v>0</v>
      </c>
      <c r="I31" s="194">
        <f>IF(E31&lt;&gt;0,1,0)</f>
        <v>0</v>
      </c>
      <c r="J31" s="230" t="s">
        <v>48</v>
      </c>
      <c r="K31" s="231"/>
      <c r="L31" s="232"/>
      <c r="M31" s="172" t="s">
        <v>159</v>
      </c>
      <c r="N31" s="152">
        <f>IF(C13=R42,ROUNDUP(L10*M10/1000,0),0)</f>
        <v>0</v>
      </c>
      <c r="O31" s="25"/>
      <c r="P31" s="18"/>
      <c r="R31" s="98" t="s">
        <v>89</v>
      </c>
    </row>
    <row r="32" spans="2:18" ht="18" x14ac:dyDescent="0.3">
      <c r="B32" s="92" t="s">
        <v>87</v>
      </c>
      <c r="C32" s="33" t="s">
        <v>14</v>
      </c>
      <c r="D32" s="114">
        <v>0</v>
      </c>
      <c r="E32" s="35">
        <v>0</v>
      </c>
      <c r="F32" s="93">
        <f>IF(C32=$R$11,$K$5-63,IF(C32=$R$10,$K$5-62,$K$5-60))</f>
        <v>427</v>
      </c>
      <c r="G32" s="94">
        <f>IF(E32&lt;&gt;0,$C$11,0)</f>
        <v>0</v>
      </c>
      <c r="H32" s="95">
        <f t="shared" si="1"/>
        <v>0</v>
      </c>
      <c r="I32" s="194">
        <f>IF(E32&lt;&gt;0,1,0)</f>
        <v>0</v>
      </c>
      <c r="J32" s="230" t="s">
        <v>104</v>
      </c>
      <c r="K32" s="231"/>
      <c r="L32" s="232"/>
      <c r="M32" s="172" t="s">
        <v>160</v>
      </c>
      <c r="N32" s="152">
        <f>IF(C13=R41,ROUNDUP(L10*M10/1000,0),0)</f>
        <v>11</v>
      </c>
      <c r="O32" s="25"/>
      <c r="P32" s="18"/>
      <c r="R32" s="98" t="s">
        <v>65</v>
      </c>
    </row>
    <row r="33" spans="2:18" ht="18.600000000000001" thickBot="1" x14ac:dyDescent="0.35">
      <c r="B33" s="99" t="s">
        <v>88</v>
      </c>
      <c r="C33" s="33" t="s">
        <v>14</v>
      </c>
      <c r="D33" s="114">
        <v>0</v>
      </c>
      <c r="E33" s="35">
        <v>0</v>
      </c>
      <c r="F33" s="93">
        <f>IF(C33=$R$11,$K$5-63,IF(C33=$R$10,$K$5-62,$K$5-60))</f>
        <v>427</v>
      </c>
      <c r="G33" s="94">
        <f>IF(E33&lt;&gt;0,$C$11,0)</f>
        <v>0</v>
      </c>
      <c r="H33" s="166">
        <f t="shared" si="1"/>
        <v>0</v>
      </c>
      <c r="I33" s="194">
        <f>IF(E33&lt;&gt;0,1,0)</f>
        <v>0</v>
      </c>
      <c r="J33" s="230" t="s">
        <v>115</v>
      </c>
      <c r="K33" s="231"/>
      <c r="L33" s="232"/>
      <c r="M33" s="145" t="s">
        <v>161</v>
      </c>
      <c r="N33" s="153">
        <f>IF(N32&gt;0,M10*2,0)</f>
        <v>8</v>
      </c>
      <c r="O33" s="25"/>
      <c r="P33" s="18"/>
    </row>
    <row r="34" spans="2:18" ht="18.600000000000001" thickBot="1" x14ac:dyDescent="0.35">
      <c r="B34" s="86"/>
      <c r="C34" s="87"/>
      <c r="D34" s="87"/>
      <c r="E34" s="233" t="s">
        <v>51</v>
      </c>
      <c r="F34" s="233"/>
      <c r="G34" s="233"/>
      <c r="H34" s="100">
        <f>SUM(H29:H33)</f>
        <v>0</v>
      </c>
      <c r="I34" s="18"/>
      <c r="J34" s="313" t="s">
        <v>138</v>
      </c>
      <c r="K34" s="314"/>
      <c r="L34" s="314"/>
      <c r="M34" s="174" t="s">
        <v>169</v>
      </c>
      <c r="N34" s="153">
        <f>IF(C16=R53,C11,0)</f>
        <v>0</v>
      </c>
      <c r="O34" s="25"/>
      <c r="P34" s="18"/>
      <c r="R34" s="69" t="s">
        <v>45</v>
      </c>
    </row>
    <row r="35" spans="2:18" ht="18" x14ac:dyDescent="0.3">
      <c r="B35" s="86"/>
      <c r="C35" s="298" t="str">
        <f>IF((SUM(I29:I33)/C25)&lt;&gt;1,R45,R46)</f>
        <v>Верно внесены высоты вставок</v>
      </c>
      <c r="D35" s="298"/>
      <c r="E35" s="183">
        <f>IF(C35=R46,1,0)</f>
        <v>1</v>
      </c>
      <c r="F35" s="183"/>
      <c r="G35" s="183"/>
      <c r="H35" s="88"/>
      <c r="I35" s="18"/>
      <c r="J35" s="313" t="s">
        <v>196</v>
      </c>
      <c r="K35" s="314"/>
      <c r="L35" s="314"/>
      <c r="M35" s="174" t="s">
        <v>201</v>
      </c>
      <c r="N35" s="153">
        <f>IF(C10=R67,C11,0)</f>
        <v>2</v>
      </c>
      <c r="O35" s="25"/>
      <c r="P35" s="18"/>
      <c r="R35" s="69" t="s">
        <v>124</v>
      </c>
    </row>
    <row r="36" spans="2:18" ht="18.600000000000001" thickBot="1" x14ac:dyDescent="0.35">
      <c r="B36" s="86"/>
      <c r="C36" s="87"/>
      <c r="D36" s="87"/>
      <c r="E36" s="87"/>
      <c r="F36" s="87"/>
      <c r="G36" s="87"/>
      <c r="H36" s="88"/>
      <c r="I36" s="18"/>
      <c r="J36" s="310" t="s">
        <v>116</v>
      </c>
      <c r="K36" s="311"/>
      <c r="L36" s="312"/>
      <c r="M36" s="52" t="s">
        <v>170</v>
      </c>
      <c r="N36" s="154">
        <f>C14</f>
        <v>0</v>
      </c>
      <c r="O36" s="25"/>
      <c r="P36" s="18"/>
      <c r="R36" s="69" t="s">
        <v>125</v>
      </c>
    </row>
    <row r="37" spans="2:18" ht="18" x14ac:dyDescent="0.3">
      <c r="B37" s="86"/>
      <c r="C37" s="103"/>
      <c r="D37" s="103"/>
      <c r="E37" s="104"/>
      <c r="F37" s="104"/>
      <c r="G37" s="104"/>
      <c r="H37" s="88"/>
      <c r="I37" s="18"/>
      <c r="J37" s="128"/>
      <c r="K37" s="119"/>
      <c r="L37" s="251"/>
      <c r="M37" s="251"/>
      <c r="N37" s="251"/>
      <c r="O37" s="25"/>
      <c r="P37" s="18"/>
    </row>
    <row r="38" spans="2:18" ht="18" x14ac:dyDescent="0.3">
      <c r="B38" s="86"/>
      <c r="C38" s="87"/>
      <c r="D38" s="87"/>
      <c r="E38" s="87"/>
      <c r="F38" s="87"/>
      <c r="G38" s="87"/>
      <c r="H38" s="25"/>
      <c r="I38" s="18"/>
      <c r="J38" s="128"/>
      <c r="K38" s="18"/>
      <c r="L38" s="18"/>
      <c r="M38" s="18"/>
      <c r="N38" s="18"/>
      <c r="O38" s="25"/>
      <c r="P38" s="18"/>
    </row>
    <row r="39" spans="2:18" ht="18" x14ac:dyDescent="0.3">
      <c r="B39" s="86"/>
      <c r="C39" s="299" t="str">
        <f>IF(AND(SUM(I29:I33)/C25=1,E33=0,C25&lt;&gt;1),R49,R50)</f>
        <v xml:space="preserve"> </v>
      </c>
      <c r="D39" s="299"/>
      <c r="E39" s="104"/>
      <c r="F39" s="104"/>
      <c r="G39" s="104"/>
      <c r="H39" s="25"/>
      <c r="I39" s="18"/>
      <c r="J39" s="128"/>
      <c r="K39" s="18"/>
      <c r="L39" s="18"/>
      <c r="M39" s="18"/>
      <c r="N39" s="18"/>
      <c r="O39" s="25"/>
      <c r="P39" s="18"/>
      <c r="R39" s="12" t="s">
        <v>52</v>
      </c>
    </row>
    <row r="40" spans="2:18" ht="18" x14ac:dyDescent="0.3">
      <c r="B40" s="86"/>
      <c r="C40" s="87"/>
      <c r="D40" s="87"/>
      <c r="E40" s="87"/>
      <c r="F40" s="87"/>
      <c r="G40" s="87"/>
      <c r="H40" s="25"/>
      <c r="I40" s="18"/>
      <c r="J40" s="128"/>
      <c r="K40" s="18"/>
      <c r="L40" s="18"/>
      <c r="M40" s="18"/>
      <c r="N40" s="18"/>
      <c r="O40" s="25"/>
      <c r="P40" s="18"/>
      <c r="R40" s="102" t="s">
        <v>111</v>
      </c>
    </row>
    <row r="41" spans="2:18" ht="18" x14ac:dyDescent="0.3">
      <c r="B41" s="86"/>
      <c r="C41" s="87"/>
      <c r="D41" s="87"/>
      <c r="E41" s="87"/>
      <c r="F41" s="87"/>
      <c r="G41" s="87"/>
      <c r="H41" s="25"/>
      <c r="I41" s="18"/>
      <c r="J41" s="128"/>
      <c r="K41" s="18"/>
      <c r="L41" s="18"/>
      <c r="M41" s="18"/>
      <c r="N41" s="18"/>
      <c r="O41" s="25"/>
      <c r="P41" s="18"/>
      <c r="Q41" s="18"/>
      <c r="R41" s="102" t="s">
        <v>104</v>
      </c>
    </row>
    <row r="42" spans="2:18" ht="18" x14ac:dyDescent="0.35">
      <c r="B42" s="105"/>
      <c r="C42" s="106"/>
      <c r="D42" s="183"/>
      <c r="E42" s="183"/>
      <c r="F42" s="183"/>
      <c r="G42" s="183"/>
      <c r="H42" s="25"/>
      <c r="I42" s="18"/>
      <c r="J42" s="128"/>
      <c r="K42" s="18"/>
      <c r="L42" s="18"/>
      <c r="M42" s="18"/>
      <c r="N42" s="18"/>
      <c r="O42" s="25"/>
      <c r="P42" s="18"/>
      <c r="Q42" s="18"/>
      <c r="R42" s="12" t="s">
        <v>48</v>
      </c>
    </row>
    <row r="43" spans="2:18" x14ac:dyDescent="0.3">
      <c r="B43" s="26"/>
      <c r="C43" s="19"/>
      <c r="D43" s="19"/>
      <c r="E43" s="19"/>
      <c r="F43" s="19"/>
      <c r="G43" s="19"/>
      <c r="H43" s="27"/>
      <c r="I43" s="18"/>
      <c r="J43" s="128"/>
      <c r="K43" s="18"/>
      <c r="L43" s="18"/>
      <c r="M43" s="18"/>
      <c r="N43" s="18"/>
      <c r="O43" s="25"/>
    </row>
    <row r="44" spans="2:18" ht="18" x14ac:dyDescent="0.35">
      <c r="B44" s="105"/>
      <c r="C44" s="106"/>
      <c r="D44" s="183"/>
      <c r="E44" s="183"/>
      <c r="F44" s="183"/>
      <c r="G44" s="183"/>
      <c r="H44" s="84"/>
      <c r="I44" s="18"/>
      <c r="J44" s="128"/>
      <c r="K44" s="18"/>
      <c r="L44" s="18"/>
      <c r="M44" s="18"/>
      <c r="N44" s="18"/>
      <c r="O44" s="25"/>
    </row>
    <row r="45" spans="2:18" ht="18.600000000000001" thickBot="1" x14ac:dyDescent="0.4">
      <c r="B45" s="110"/>
      <c r="C45" s="111"/>
      <c r="D45" s="112"/>
      <c r="E45" s="112"/>
      <c r="F45" s="112"/>
      <c r="G45" s="112"/>
      <c r="H45" s="113"/>
      <c r="I45" s="195"/>
      <c r="J45" s="133"/>
      <c r="K45" s="297"/>
      <c r="L45" s="297"/>
      <c r="M45" s="297"/>
      <c r="N45" s="297"/>
      <c r="O45" s="196"/>
      <c r="R45" s="98" t="s">
        <v>91</v>
      </c>
    </row>
    <row r="46" spans="2:18" ht="18" x14ac:dyDescent="0.3">
      <c r="R46" s="98" t="s">
        <v>92</v>
      </c>
    </row>
    <row r="49" spans="17:18" ht="18" x14ac:dyDescent="0.35">
      <c r="R49" s="109" t="s">
        <v>101</v>
      </c>
    </row>
    <row r="50" spans="17:18" x14ac:dyDescent="0.3">
      <c r="R50" s="12" t="s">
        <v>65</v>
      </c>
    </row>
    <row r="52" spans="17:18" x14ac:dyDescent="0.3">
      <c r="Q52" s="58" t="e">
        <f>Подвесная!R52</f>
        <v>#REF!</v>
      </c>
    </row>
    <row r="53" spans="17:18" x14ac:dyDescent="0.3">
      <c r="Q53" s="58" t="e">
        <f>Подвесная!R53</f>
        <v>#REF!</v>
      </c>
      <c r="R53" s="69" t="s">
        <v>69</v>
      </c>
    </row>
    <row r="54" spans="17:18" x14ac:dyDescent="0.3">
      <c r="Q54" s="58" t="e">
        <f>Подвесная!R54</f>
        <v>#REF!</v>
      </c>
      <c r="R54" s="69" t="s">
        <v>70</v>
      </c>
    </row>
    <row r="55" spans="17:18" x14ac:dyDescent="0.3">
      <c r="Q55" s="58" t="e">
        <f>Подвесная!R55</f>
        <v>#REF!</v>
      </c>
    </row>
    <row r="56" spans="17:18" x14ac:dyDescent="0.3">
      <c r="Q56" s="58" t="e">
        <f>Подвесная!R56</f>
        <v>#REF!</v>
      </c>
    </row>
    <row r="57" spans="17:18" x14ac:dyDescent="0.3">
      <c r="Q57" s="58" t="e">
        <f>Подвесная!R57</f>
        <v>#REF!</v>
      </c>
    </row>
    <row r="58" spans="17:18" x14ac:dyDescent="0.3">
      <c r="Q58" s="58" t="e">
        <f>Подвесная!R58</f>
        <v>#REF!</v>
      </c>
      <c r="R58" s="69" t="s">
        <v>141</v>
      </c>
    </row>
    <row r="59" spans="17:18" x14ac:dyDescent="0.3">
      <c r="Q59" s="58" t="e">
        <f>Подвесная!R59</f>
        <v>#REF!</v>
      </c>
      <c r="R59" s="69" t="s">
        <v>136</v>
      </c>
    </row>
    <row r="60" spans="17:18" x14ac:dyDescent="0.3">
      <c r="Q60" s="58"/>
    </row>
    <row r="61" spans="17:18" x14ac:dyDescent="0.3">
      <c r="Q61" s="58"/>
    </row>
    <row r="62" spans="17:18" x14ac:dyDescent="0.3">
      <c r="Q62" s="58"/>
      <c r="R62" s="12" t="s">
        <v>139</v>
      </c>
    </row>
    <row r="63" spans="17:18" x14ac:dyDescent="0.3">
      <c r="R63" s="69" t="s">
        <v>136</v>
      </c>
    </row>
    <row r="66" spans="18:18" x14ac:dyDescent="0.3">
      <c r="R66" s="69" t="s">
        <v>197</v>
      </c>
    </row>
    <row r="67" spans="18:18" x14ac:dyDescent="0.3">
      <c r="R67" s="69" t="s">
        <v>198</v>
      </c>
    </row>
  </sheetData>
  <sheetProtection algorithmName="SHA-512" hashValue="Tl1nQvmuBMhLxgtDmtkOJYmrLU2Scyx6NvLXr+wUqrFaRhQ7X5RiWlK9J2H5tKTTv4NbkgITfv6LdHhFZEKoOg==" saltValue="JF9hA9Qkgf6cQ2D9/+Zbsg==" spinCount="100000" sheet="1" selectLockedCells="1"/>
  <mergeCells count="46">
    <mergeCell ref="B1:O1"/>
    <mergeCell ref="B2:H2"/>
    <mergeCell ref="B3:C3"/>
    <mergeCell ref="D6:H6"/>
    <mergeCell ref="D7:H7"/>
    <mergeCell ref="J2:O2"/>
    <mergeCell ref="D11:H11"/>
    <mergeCell ref="D9:H9"/>
    <mergeCell ref="J18:L18"/>
    <mergeCell ref="J3:K3"/>
    <mergeCell ref="J8:M8"/>
    <mergeCell ref="D4:H4"/>
    <mergeCell ref="D12:H12"/>
    <mergeCell ref="D5:H5"/>
    <mergeCell ref="J15:O15"/>
    <mergeCell ref="D10:H10"/>
    <mergeCell ref="D8:H8"/>
    <mergeCell ref="L37:N37"/>
    <mergeCell ref="J34:L34"/>
    <mergeCell ref="J24:L24"/>
    <mergeCell ref="J35:L35"/>
    <mergeCell ref="K45:N45"/>
    <mergeCell ref="J23:L23"/>
    <mergeCell ref="J33:L33"/>
    <mergeCell ref="J36:L36"/>
    <mergeCell ref="J26:L26"/>
    <mergeCell ref="J29:L29"/>
    <mergeCell ref="J27:L27"/>
    <mergeCell ref="J28:L28"/>
    <mergeCell ref="J25:L25"/>
    <mergeCell ref="C39:D39"/>
    <mergeCell ref="D15:H15"/>
    <mergeCell ref="D13:H13"/>
    <mergeCell ref="D14:H14"/>
    <mergeCell ref="J30:L30"/>
    <mergeCell ref="J31:L31"/>
    <mergeCell ref="J32:L32"/>
    <mergeCell ref="C35:D35"/>
    <mergeCell ref="E34:G34"/>
    <mergeCell ref="B18:H18"/>
    <mergeCell ref="B19:H21"/>
    <mergeCell ref="D16:H16"/>
    <mergeCell ref="J19:L19"/>
    <mergeCell ref="J20:L20"/>
    <mergeCell ref="J21:L21"/>
    <mergeCell ref="J22:L22"/>
  </mergeCells>
  <conditionalFormatting sqref="D5">
    <cfRule type="cellIs" dxfId="57" priority="66" operator="equal">
      <formula>$R$58</formula>
    </cfRule>
  </conditionalFormatting>
  <conditionalFormatting sqref="K5:K6 L10:N10 L11:M14 O14 N20:N21 N24:N26 N29:N36">
    <cfRule type="expression" dxfId="56" priority="9">
      <formula>$C$5=0</formula>
    </cfRule>
  </conditionalFormatting>
  <conditionalFormatting sqref="N27:N28">
    <cfRule type="expression" dxfId="55" priority="60">
      <formula>$C$5=0</formula>
    </cfRule>
  </conditionalFormatting>
  <conditionalFormatting sqref="D5:H7 D9:H15">
    <cfRule type="expression" dxfId="54" priority="59">
      <formula>$C5=0</formula>
    </cfRule>
  </conditionalFormatting>
  <conditionalFormatting sqref="O10">
    <cfRule type="expression" dxfId="53" priority="57">
      <formula>$C$5=0</formula>
    </cfRule>
  </conditionalFormatting>
  <conditionalFormatting sqref="O11:O13">
    <cfRule type="expression" dxfId="52" priority="56">
      <formula>$C$5=0</formula>
    </cfRule>
  </conditionalFormatting>
  <conditionalFormatting sqref="O45">
    <cfRule type="expression" dxfId="51" priority="53">
      <formula>$C$5=0</formula>
    </cfRule>
  </conditionalFormatting>
  <conditionalFormatting sqref="N11:N14">
    <cfRule type="expression" dxfId="50" priority="48">
      <formula>$C$5=0</formula>
    </cfRule>
  </conditionalFormatting>
  <conditionalFormatting sqref="D13:H13">
    <cfRule type="expression" dxfId="49" priority="34">
      <formula>$C$5=0</formula>
    </cfRule>
  </conditionalFormatting>
  <conditionalFormatting sqref="C14">
    <cfRule type="cellIs" dxfId="48" priority="33" operator="greaterThan">
      <formula>0</formula>
    </cfRule>
  </conditionalFormatting>
  <conditionalFormatting sqref="D14:H14">
    <cfRule type="expression" dxfId="47" priority="32">
      <formula>$C$5=0</formula>
    </cfRule>
  </conditionalFormatting>
  <conditionalFormatting sqref="N32">
    <cfRule type="expression" dxfId="46" priority="31">
      <formula>$C$4=0</formula>
    </cfRule>
  </conditionalFormatting>
  <conditionalFormatting sqref="N31">
    <cfRule type="expression" dxfId="45" priority="30">
      <formula>$C$4=0</formula>
    </cfRule>
  </conditionalFormatting>
  <conditionalFormatting sqref="N33">
    <cfRule type="expression" dxfId="44" priority="29">
      <formula>$C$4=0</formula>
    </cfRule>
  </conditionalFormatting>
  <conditionalFormatting sqref="N36">
    <cfRule type="expression" dxfId="43" priority="28">
      <formula>$C$4=0</formula>
    </cfRule>
  </conditionalFormatting>
  <conditionalFormatting sqref="C15">
    <cfRule type="cellIs" dxfId="42" priority="26" operator="greaterThan">
      <formula>0</formula>
    </cfRule>
  </conditionalFormatting>
  <conditionalFormatting sqref="D15:H15">
    <cfRule type="expression" dxfId="41" priority="25">
      <formula>$C$5=0</formula>
    </cfRule>
  </conditionalFormatting>
  <conditionalFormatting sqref="D11:H12">
    <cfRule type="expression" dxfId="40" priority="19">
      <formula>$C$5=0</formula>
    </cfRule>
  </conditionalFormatting>
  <conditionalFormatting sqref="E29 H34 F29:H33 N22:N23">
    <cfRule type="expression" dxfId="39" priority="18">
      <formula>$C$5=0</formula>
    </cfRule>
  </conditionalFormatting>
  <conditionalFormatting sqref="C16">
    <cfRule type="cellIs" dxfId="38" priority="17" operator="greaterThan">
      <formula>0</formula>
    </cfRule>
  </conditionalFormatting>
  <conditionalFormatting sqref="D16:H16">
    <cfRule type="expression" dxfId="37" priority="14">
      <formula>$C$6=0</formula>
    </cfRule>
  </conditionalFormatting>
  <conditionalFormatting sqref="N34">
    <cfRule type="expression" dxfId="36" priority="12">
      <formula>$C$4=0</formula>
    </cfRule>
  </conditionalFormatting>
  <conditionalFormatting sqref="D16:H16">
    <cfRule type="expression" dxfId="35" priority="149">
      <formula>#REF!="нет"</formula>
    </cfRule>
    <cfRule type="expression" dxfId="34" priority="150">
      <formula>#REF!="невозможно установить, ширина двери должна быть не менее 650 мм"</formula>
    </cfRule>
  </conditionalFormatting>
  <conditionalFormatting sqref="K6">
    <cfRule type="expression" dxfId="33" priority="20">
      <formula>$K$6&gt;3200</formula>
    </cfRule>
  </conditionalFormatting>
  <conditionalFormatting sqref="N35">
    <cfRule type="expression" dxfId="32" priority="7">
      <formula>$C$4=0</formula>
    </cfRule>
  </conditionalFormatting>
  <conditionalFormatting sqref="C8">
    <cfRule type="cellIs" dxfId="31" priority="2" operator="greaterThan">
      <formula>0</formula>
    </cfRule>
  </conditionalFormatting>
  <conditionalFormatting sqref="D8:H8">
    <cfRule type="expression" dxfId="30" priority="1">
      <formula>$C$6=0</formula>
    </cfRule>
  </conditionalFormatting>
  <conditionalFormatting sqref="K5">
    <cfRule type="expression" dxfId="29" priority="196">
      <formula>$C$11=0</formula>
    </cfRule>
    <cfRule type="expression" dxfId="28" priority="197">
      <formula>AND(OR($K$5&lt;200,$K$5&gt;700),$C$5&gt;0)</formula>
    </cfRule>
  </conditionalFormatting>
  <conditionalFormatting sqref="C39">
    <cfRule type="expression" dxfId="27" priority="209">
      <formula>$C$39=$R$49</formula>
    </cfRule>
  </conditionalFormatting>
  <conditionalFormatting sqref="C35">
    <cfRule type="expression" dxfId="26" priority="210">
      <formula>$C$35=$R$46</formula>
    </cfRule>
  </conditionalFormatting>
  <conditionalFormatting sqref="C13">
    <cfRule type="expression" dxfId="25" priority="211">
      <formula>AND($C$10=$R$67,OR($C$13=$R$39,$C$13=$R$40))</formula>
    </cfRule>
    <cfRule type="cellIs" dxfId="24" priority="212" operator="greaterThan">
      <formula>0</formula>
    </cfRule>
  </conditionalFormatting>
  <conditionalFormatting sqref="C35:D35">
    <cfRule type="expression" dxfId="23" priority="213">
      <formula>$C$35=$R$45</formula>
    </cfRule>
  </conditionalFormatting>
  <conditionalFormatting sqref="D6:H6">
    <cfRule type="expression" dxfId="22" priority="214">
      <formula>$D$6=$R$62</formula>
    </cfRule>
  </conditionalFormatting>
  <dataValidations count="11">
    <dataValidation type="list" allowBlank="1" showInputMessage="1" showErrorMessage="1" sqref="C11">
      <formula1>$R$5:$R$6</formula1>
    </dataValidation>
    <dataValidation type="list" allowBlank="1" showInputMessage="1" showErrorMessage="1" sqref="C12">
      <formula1>$R$34:$R$36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3">
      <formula1>$R$39:$R$42</formula1>
    </dataValidation>
    <dataValidation type="whole" allowBlank="1" showInputMessage="1" showErrorMessage="1" sqref="C14">
      <formula1>0</formula1>
      <formula2>20</formula2>
    </dataValidation>
    <dataValidation type="list" allowBlank="1" showInputMessage="1" showErrorMessage="1" sqref="C29:C33">
      <formula1>$R$9:$R$11</formula1>
    </dataValidation>
    <dataValidation type="whole" allowBlank="1" showInputMessage="1" showErrorMessage="1" sqref="C15">
      <formula1>150</formula1>
      <formula2>K6</formula2>
    </dataValidation>
    <dataValidation type="list" allowBlank="1" showInputMessage="1" showErrorMessage="1" sqref="C16">
      <formula1>$R$53:$R$54</formula1>
    </dataValidation>
    <dataValidation type="list" allowBlank="1" showInputMessage="1" showErrorMessage="1" sqref="C9">
      <formula1>$Q$52:$Q$59</formula1>
    </dataValidation>
    <dataValidation type="list" allowBlank="1" showInputMessage="1" showErrorMessage="1" sqref="C10">
      <formula1>$R$66:$R$67</formula1>
    </dataValidation>
    <dataValidation type="list" allowBlank="1" showInputMessage="1" showErrorMessage="1" sqref="C8">
      <formula1>$U$2:$U$3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E35:G35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8671875" defaultRowHeight="14.4" x14ac:dyDescent="0.3"/>
  <cols>
    <col min="1" max="1" width="1" style="69" customWidth="1"/>
    <col min="2" max="2" width="44.44140625" style="69" customWidth="1"/>
    <col min="3" max="3" width="40.33203125" style="69" customWidth="1"/>
    <col min="4" max="8" width="14.6640625" style="69" customWidth="1"/>
    <col min="9" max="9" width="1.6640625" style="69" customWidth="1"/>
    <col min="10" max="10" width="25" style="69" customWidth="1"/>
    <col min="11" max="11" width="16.109375" style="69" customWidth="1"/>
    <col min="12" max="12" width="12.88671875" style="69" customWidth="1"/>
    <col min="13" max="13" width="16.88671875" style="69" customWidth="1"/>
    <col min="14" max="14" width="15.44140625" style="69" customWidth="1"/>
    <col min="15" max="15" width="16.6640625" style="69" customWidth="1"/>
    <col min="16" max="16" width="31.44140625" style="69" hidden="1" customWidth="1"/>
    <col min="17" max="17" width="27.33203125" style="69" hidden="1" customWidth="1"/>
    <col min="18" max="19" width="8.88671875" style="69" hidden="1" customWidth="1"/>
    <col min="20" max="20" width="25.5546875" style="69" hidden="1" customWidth="1"/>
    <col min="21" max="21" width="14.33203125" style="69" hidden="1" customWidth="1"/>
    <col min="22" max="23" width="8.88671875" style="69" hidden="1" customWidth="1"/>
    <col min="24" max="24" width="0" style="69" hidden="1" customWidth="1"/>
    <col min="25" max="16384" width="8.88671875" style="69"/>
  </cols>
  <sheetData>
    <row r="1" spans="2:23" ht="18.600000000000001" thickBot="1" x14ac:dyDescent="0.35">
      <c r="B1" s="318" t="s">
        <v>73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  <c r="P1" s="122"/>
    </row>
    <row r="2" spans="2:23" s="13" customFormat="1" x14ac:dyDescent="0.3">
      <c r="B2" s="261" t="s">
        <v>76</v>
      </c>
      <c r="C2" s="262"/>
      <c r="D2" s="262"/>
      <c r="E2" s="262"/>
      <c r="F2" s="262"/>
      <c r="G2" s="262"/>
      <c r="H2" s="263"/>
      <c r="I2" s="134"/>
      <c r="J2" s="269" t="s">
        <v>77</v>
      </c>
      <c r="K2" s="270"/>
      <c r="L2" s="270"/>
      <c r="M2" s="270"/>
      <c r="N2" s="270"/>
      <c r="O2" s="271"/>
      <c r="P2" s="60"/>
      <c r="Q2" s="134"/>
      <c r="R2" s="134"/>
      <c r="S2" s="134" t="e">
        <f>IF(C9=P52,O13*#REF!,IF(C9=P53,O13*#REF!,IF(OR(C9=P58,C9=P59),O13*#REF!,#REF!)))</f>
        <v>#REF!</v>
      </c>
      <c r="T2" s="12" t="s">
        <v>205</v>
      </c>
      <c r="U2" s="12" t="s">
        <v>204</v>
      </c>
      <c r="V2" s="134">
        <f>IF(C8=T2,9,8)</f>
        <v>8</v>
      </c>
      <c r="W2" s="134"/>
    </row>
    <row r="3" spans="2:23" ht="15.6" x14ac:dyDescent="0.3">
      <c r="B3" s="264" t="s">
        <v>16</v>
      </c>
      <c r="C3" s="265"/>
      <c r="D3" s="18"/>
      <c r="E3" s="18"/>
      <c r="F3" s="18"/>
      <c r="G3" s="18"/>
      <c r="H3" s="25"/>
      <c r="I3" s="18"/>
      <c r="J3" s="264" t="s">
        <v>71</v>
      </c>
      <c r="K3" s="265"/>
      <c r="L3" s="18"/>
      <c r="M3" s="18"/>
      <c r="N3" s="18"/>
      <c r="O3" s="25"/>
      <c r="P3" s="18"/>
      <c r="Q3" s="18"/>
      <c r="R3" s="18"/>
      <c r="S3" s="18" t="e">
        <f>IF(C9=P52,O13*#REF!,IF(C9=P53,O13*#REF!,IF(C9=P54,O13*#REF!,IF(C9=P55,O13*#REF!,O13*#REF!))))</f>
        <v>#REF!</v>
      </c>
      <c r="T3" s="12" t="s">
        <v>206</v>
      </c>
      <c r="U3" s="12" t="s">
        <v>149</v>
      </c>
      <c r="V3" s="18"/>
      <c r="W3" s="18"/>
    </row>
    <row r="4" spans="2:23" ht="18" x14ac:dyDescent="0.3">
      <c r="B4" s="135" t="s">
        <v>5</v>
      </c>
      <c r="C4" s="187" t="s">
        <v>17</v>
      </c>
      <c r="D4" s="327" t="s">
        <v>20</v>
      </c>
      <c r="E4" s="328"/>
      <c r="F4" s="328"/>
      <c r="G4" s="328"/>
      <c r="H4" s="329"/>
      <c r="I4" s="18"/>
      <c r="J4" s="48" t="s">
        <v>0</v>
      </c>
      <c r="K4" s="178" t="s">
        <v>17</v>
      </c>
      <c r="L4" s="18"/>
      <c r="M4" s="18"/>
      <c r="N4" s="18"/>
      <c r="O4" s="25"/>
      <c r="P4" s="18"/>
      <c r="Q4" s="18"/>
      <c r="R4" s="18"/>
      <c r="S4" s="18"/>
      <c r="V4" s="18"/>
      <c r="W4" s="18"/>
    </row>
    <row r="5" spans="2:23" ht="18" x14ac:dyDescent="0.3">
      <c r="B5" s="42" t="s">
        <v>93</v>
      </c>
      <c r="C5" s="54">
        <v>2500</v>
      </c>
      <c r="D5" s="315" t="str">
        <f>IF(OR(K5&lt;200,K5&gt;1200),Q46,Q47)</f>
        <v>допустимо</v>
      </c>
      <c r="E5" s="316"/>
      <c r="F5" s="316"/>
      <c r="G5" s="316"/>
      <c r="H5" s="317"/>
      <c r="I5" s="18"/>
      <c r="J5" s="125" t="s">
        <v>19</v>
      </c>
      <c r="K5" s="126">
        <f>ROUNDDOWN(IF(AND(C10=Q18,OR(C12=Q38,C12=Q39)),(C5+39+39)/4,
IF(AND(C10=Q18,OR(C12=Q40,C12=Q41)),(C5-10+39+39)/4,
IF(AND(OR(C10=Q16,C10=Q17,C10=Q19),C12=Q38),C5/C11,
IF(AND(OR(C10=Q16,C10=Q17,C10=Q19),C12=Q39),(C5-2)/C11,
IF(AND(OR(C10=Q16,C10=Q17,C10=Q19),OR(C12=Q40,C12=Q41)),(C5-10)/C11))))),0)</f>
        <v>642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" x14ac:dyDescent="0.3">
      <c r="B6" s="42" t="s">
        <v>94</v>
      </c>
      <c r="C6" s="54">
        <v>2600</v>
      </c>
      <c r="D6" s="315" t="str">
        <f>IF(K6&gt;3200,Q50,Q51)</f>
        <v>допустимо</v>
      </c>
      <c r="E6" s="316"/>
      <c r="F6" s="316"/>
      <c r="G6" s="316"/>
      <c r="H6" s="317"/>
      <c r="I6" s="18"/>
      <c r="J6" s="125" t="s">
        <v>18</v>
      </c>
      <c r="K6" s="126">
        <f>IF(OR(C10=Q16,C10=Q17,C10=Q18),C6-45,C6-85)</f>
        <v>2555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" x14ac:dyDescent="0.3">
      <c r="B7" s="42" t="s">
        <v>95</v>
      </c>
      <c r="C7" s="55">
        <v>0</v>
      </c>
      <c r="D7" s="281" t="s">
        <v>15</v>
      </c>
      <c r="E7" s="282"/>
      <c r="F7" s="282"/>
      <c r="G7" s="282"/>
      <c r="H7" s="283"/>
      <c r="I7" s="18"/>
      <c r="J7" s="128"/>
      <c r="K7" s="18"/>
      <c r="L7" s="18"/>
      <c r="M7" s="18"/>
      <c r="N7" s="18"/>
      <c r="O7" s="25"/>
      <c r="P7" s="18"/>
      <c r="Q7" s="136"/>
      <c r="R7" s="18"/>
      <c r="S7" s="18"/>
      <c r="T7" s="18"/>
      <c r="U7" s="18"/>
      <c r="V7" s="18"/>
      <c r="W7" s="18"/>
    </row>
    <row r="8" spans="2:23" ht="19.5" customHeight="1" x14ac:dyDescent="0.3">
      <c r="B8" s="42" t="s">
        <v>203</v>
      </c>
      <c r="C8" s="24" t="s">
        <v>206</v>
      </c>
      <c r="D8" s="218"/>
      <c r="E8" s="215"/>
      <c r="F8" s="215"/>
      <c r="G8" s="215"/>
      <c r="H8" s="219"/>
      <c r="I8" s="18"/>
      <c r="J8" s="264" t="s">
        <v>143</v>
      </c>
      <c r="K8" s="265"/>
      <c r="L8" s="265"/>
      <c r="M8" s="265"/>
      <c r="N8" s="177"/>
      <c r="O8" s="190"/>
      <c r="P8" s="18"/>
      <c r="Q8" s="124"/>
      <c r="T8" s="22"/>
    </row>
    <row r="9" spans="2:23" ht="35.1" customHeight="1" x14ac:dyDescent="0.3">
      <c r="B9" s="42" t="s">
        <v>96</v>
      </c>
      <c r="C9" s="55" t="s">
        <v>195</v>
      </c>
      <c r="D9" s="321"/>
      <c r="E9" s="322"/>
      <c r="F9" s="322"/>
      <c r="G9" s="322"/>
      <c r="H9" s="323"/>
      <c r="I9" s="18"/>
      <c r="J9" s="48" t="s">
        <v>0</v>
      </c>
      <c r="K9" s="178" t="s">
        <v>1</v>
      </c>
      <c r="L9" s="178" t="s">
        <v>9</v>
      </c>
      <c r="M9" s="178" t="s">
        <v>11</v>
      </c>
      <c r="N9" s="137" t="s">
        <v>75</v>
      </c>
      <c r="O9" s="67" t="s">
        <v>32</v>
      </c>
      <c r="P9" s="18"/>
      <c r="T9" s="138"/>
    </row>
    <row r="10" spans="2:23" ht="35.1" customHeight="1" x14ac:dyDescent="0.3">
      <c r="B10" s="43" t="s">
        <v>97</v>
      </c>
      <c r="C10" s="53" t="s">
        <v>63</v>
      </c>
      <c r="D10" s="315"/>
      <c r="E10" s="316"/>
      <c r="F10" s="316"/>
      <c r="G10" s="316"/>
      <c r="H10" s="317"/>
      <c r="I10" s="18"/>
      <c r="J10" s="185" t="s">
        <v>2</v>
      </c>
      <c r="K10" s="180" t="s">
        <v>146</v>
      </c>
      <c r="L10" s="147">
        <f>K6</f>
        <v>2555</v>
      </c>
      <c r="M10" s="148">
        <f>IF(AND(C6&gt;0,C10=Q18),4,IF(AND(C6&gt;0,OR(C10=Q16,C10=Q17,C10=Q19)),C11*2,0))</f>
        <v>4</v>
      </c>
      <c r="N10" s="148"/>
      <c r="O10" s="191">
        <f>IF(L10&gt;2650,M10,M10/2)</f>
        <v>2</v>
      </c>
      <c r="P10" s="18"/>
    </row>
    <row r="11" spans="2:23" ht="35.1" customHeight="1" x14ac:dyDescent="0.3">
      <c r="B11" s="65" t="s">
        <v>98</v>
      </c>
      <c r="C11" s="55">
        <v>1</v>
      </c>
      <c r="D11" s="324" t="s">
        <v>64</v>
      </c>
      <c r="E11" s="325"/>
      <c r="F11" s="325"/>
      <c r="G11" s="325"/>
      <c r="H11" s="326"/>
      <c r="I11" s="18"/>
      <c r="J11" s="185" t="s">
        <v>3</v>
      </c>
      <c r="K11" s="180" t="s">
        <v>147</v>
      </c>
      <c r="L11" s="147">
        <f>K5-78</f>
        <v>564</v>
      </c>
      <c r="M11" s="148">
        <f>IF(AND(C6&gt;0,C10=Q18),2,IF(AND(C6&gt;0,OR(C10=Q16,C10=Q17,C10=Q19)),C11,0))</f>
        <v>2</v>
      </c>
      <c r="N11" s="147">
        <f>L11*M11</f>
        <v>1128</v>
      </c>
      <c r="O11" s="191">
        <f>CEILING((L11*M11)/5000,1)</f>
        <v>1</v>
      </c>
      <c r="P11" s="18"/>
      <c r="Q11" s="85" t="s">
        <v>12</v>
      </c>
    </row>
    <row r="12" spans="2:23" ht="18" x14ac:dyDescent="0.3">
      <c r="B12" s="73" t="s">
        <v>110</v>
      </c>
      <c r="C12" s="56" t="s">
        <v>104</v>
      </c>
      <c r="D12" s="218" t="s">
        <v>129</v>
      </c>
      <c r="E12" s="218"/>
      <c r="F12" s="218"/>
      <c r="G12" s="218"/>
      <c r="H12" s="219"/>
      <c r="I12" s="18"/>
      <c r="J12" s="185" t="s">
        <v>4</v>
      </c>
      <c r="K12" s="180" t="s">
        <v>148</v>
      </c>
      <c r="L12" s="147">
        <f>K5-78</f>
        <v>564</v>
      </c>
      <c r="M12" s="148">
        <f>IF(AND(C6&gt;0,C10=Q18),2,IF(AND(C6&gt;0,OR(C10=Q16,C10=Q17,C10=Q19)),C11,0))</f>
        <v>2</v>
      </c>
      <c r="N12" s="147">
        <f t="shared" ref="N12:N17" si="0">L12*M12</f>
        <v>1128</v>
      </c>
      <c r="O12" s="191">
        <f>CEILING((L12*M12)/5000,1)</f>
        <v>1</v>
      </c>
      <c r="P12" s="18"/>
      <c r="Q12" s="85" t="s">
        <v>13</v>
      </c>
    </row>
    <row r="13" spans="2:23" ht="15.6" x14ac:dyDescent="0.3">
      <c r="B13" s="128"/>
      <c r="C13" s="18"/>
      <c r="D13" s="18"/>
      <c r="E13" s="18"/>
      <c r="F13" s="18"/>
      <c r="G13" s="18"/>
      <c r="H13" s="18"/>
      <c r="I13" s="18"/>
      <c r="J13" s="168" t="str">
        <f>C8</f>
        <v>Рамка средняя 4в1</v>
      </c>
      <c r="K13" s="180" t="str">
        <f>IF(J13=T2,U2,U3)</f>
        <v>FA0412.VP500</v>
      </c>
      <c r="L13" s="147">
        <f>IF(AND(C8=T3,C7&gt;0),K5-78,IF(AND(C8=T2,C7&gt;0),K5-76,0))</f>
        <v>0</v>
      </c>
      <c r="M13" s="148">
        <f>IF(AND(C10=Q18,C7&gt;0),C7*2,C7*C11)</f>
        <v>0</v>
      </c>
      <c r="N13" s="147">
        <f t="shared" si="0"/>
        <v>0</v>
      </c>
      <c r="O13" s="191">
        <f>IF(L13="нет",0,CEILING((L13*M13)/5000,1))</f>
        <v>0</v>
      </c>
      <c r="P13" s="18"/>
      <c r="Q13" s="85" t="s">
        <v>14</v>
      </c>
      <c r="R13" s="18"/>
      <c r="S13" s="18"/>
      <c r="T13" s="18"/>
    </row>
    <row r="14" spans="2:23" ht="15.6" x14ac:dyDescent="0.3">
      <c r="B14" s="264" t="s">
        <v>28</v>
      </c>
      <c r="C14" s="265"/>
      <c r="D14" s="265"/>
      <c r="E14" s="265"/>
      <c r="F14" s="265"/>
      <c r="G14" s="265"/>
      <c r="H14" s="265"/>
      <c r="I14" s="18"/>
      <c r="J14" s="185" t="s">
        <v>6</v>
      </c>
      <c r="K14" s="180" t="s">
        <v>150</v>
      </c>
      <c r="L14" s="147">
        <f>IF(OR(C10=Q16,C10=Q18),K5-120,0)</f>
        <v>522</v>
      </c>
      <c r="M14" s="148">
        <f>IF(AND(L14&gt;0,C10=Q16),C11,IF(AND(L14&gt;0,C10=Q18),2,0))</f>
        <v>2</v>
      </c>
      <c r="N14" s="332">
        <f>L14*M14+L15*M15</f>
        <v>2140</v>
      </c>
      <c r="O14" s="330">
        <f>CEILING((L14*M14+L15*M15)/5000,1)</f>
        <v>1</v>
      </c>
      <c r="P14" s="18"/>
      <c r="Q14" s="18"/>
      <c r="R14" s="18"/>
      <c r="S14" s="18"/>
      <c r="T14" s="18"/>
    </row>
    <row r="15" spans="2:23" ht="15.6" x14ac:dyDescent="0.3">
      <c r="B15" s="228" t="s">
        <v>113</v>
      </c>
      <c r="C15" s="229"/>
      <c r="D15" s="229"/>
      <c r="E15" s="229"/>
      <c r="F15" s="229"/>
      <c r="G15" s="229"/>
      <c r="H15" s="229"/>
      <c r="I15" s="18"/>
      <c r="J15" s="185" t="s">
        <v>6</v>
      </c>
      <c r="K15" s="180" t="s">
        <v>150</v>
      </c>
      <c r="L15" s="147">
        <f>IF(C10=Q18,(C5-K5*2)-120,0)</f>
        <v>1096</v>
      </c>
      <c r="M15" s="148">
        <f>IF(L15&gt;0,1,0)</f>
        <v>1</v>
      </c>
      <c r="N15" s="333"/>
      <c r="O15" s="331"/>
      <c r="P15" s="18"/>
      <c r="Q15" s="18"/>
      <c r="R15" s="18"/>
      <c r="S15" s="18"/>
      <c r="T15" s="18"/>
    </row>
    <row r="16" spans="2:23" ht="15.6" x14ac:dyDescent="0.3">
      <c r="B16" s="228"/>
      <c r="C16" s="229"/>
      <c r="D16" s="229"/>
      <c r="E16" s="229"/>
      <c r="F16" s="229"/>
      <c r="G16" s="229"/>
      <c r="H16" s="229"/>
      <c r="I16" s="18"/>
      <c r="J16" s="185" t="s">
        <v>7</v>
      </c>
      <c r="K16" s="180" t="s">
        <v>151</v>
      </c>
      <c r="L16" s="147">
        <f>IF(OR(C10=Q16,C10=Q18),C5,0)</f>
        <v>2500</v>
      </c>
      <c r="M16" s="148">
        <f>IF(C10=Q16,2,IF(C10=Q18,1,0))</f>
        <v>1</v>
      </c>
      <c r="N16" s="147">
        <f t="shared" si="0"/>
        <v>2500</v>
      </c>
      <c r="O16" s="191">
        <f>CEILING((L16*M16)/5000,1)</f>
        <v>1</v>
      </c>
      <c r="P16" s="18"/>
      <c r="Q16" s="139" t="s">
        <v>60</v>
      </c>
      <c r="R16" s="18"/>
      <c r="S16" s="18"/>
      <c r="T16" s="18"/>
    </row>
    <row r="17" spans="2:20" ht="15.6" x14ac:dyDescent="0.3">
      <c r="B17" s="228"/>
      <c r="C17" s="229"/>
      <c r="D17" s="229"/>
      <c r="E17" s="229"/>
      <c r="F17" s="229"/>
      <c r="G17" s="229"/>
      <c r="H17" s="229"/>
      <c r="I17" s="18"/>
      <c r="J17" s="185" t="s">
        <v>8</v>
      </c>
      <c r="K17" s="180" t="s">
        <v>152</v>
      </c>
      <c r="L17" s="147">
        <f>IF(OR(C10=Q18,C10=Q16,C10=Q17),L11-50,0)</f>
        <v>514</v>
      </c>
      <c r="M17" s="148">
        <f>IF(OR(C10=Q16,C10=Q17),C11,IF(C10=Q18,2,0))</f>
        <v>2</v>
      </c>
      <c r="N17" s="147">
        <f t="shared" si="0"/>
        <v>1028</v>
      </c>
      <c r="O17" s="191">
        <f>CEILING((L17*M17)/5400,1)</f>
        <v>1</v>
      </c>
      <c r="P17" s="18"/>
      <c r="Q17" s="139" t="s">
        <v>62</v>
      </c>
      <c r="R17" s="18"/>
      <c r="S17" s="18"/>
      <c r="T17" s="18"/>
    </row>
    <row r="18" spans="2:20" ht="15.6" x14ac:dyDescent="0.3">
      <c r="B18" s="128"/>
      <c r="C18" s="18"/>
      <c r="D18" s="18"/>
      <c r="E18" s="18"/>
      <c r="F18" s="18"/>
      <c r="G18" s="18"/>
      <c r="H18" s="18"/>
      <c r="I18" s="18"/>
      <c r="J18" s="276"/>
      <c r="K18" s="277"/>
      <c r="L18" s="277"/>
      <c r="M18" s="277"/>
      <c r="N18" s="277"/>
      <c r="O18" s="278"/>
      <c r="P18" s="18"/>
      <c r="Q18" s="140" t="s">
        <v>63</v>
      </c>
      <c r="R18" s="18"/>
      <c r="S18" s="18"/>
      <c r="T18" s="18"/>
    </row>
    <row r="19" spans="2:20" ht="18.600000000000001" thickBot="1" x14ac:dyDescent="0.35">
      <c r="B19" s="192" t="s">
        <v>114</v>
      </c>
      <c r="C19" s="193"/>
      <c r="D19" s="193"/>
      <c r="E19" s="193"/>
      <c r="F19" s="193"/>
      <c r="G19" s="193"/>
      <c r="H19" s="193"/>
      <c r="I19" s="18"/>
      <c r="J19" s="176"/>
      <c r="K19" s="177"/>
      <c r="L19" s="177"/>
      <c r="M19" s="177"/>
      <c r="N19" s="177"/>
      <c r="O19" s="62"/>
      <c r="P19" s="18"/>
      <c r="Q19" s="141" t="s">
        <v>61</v>
      </c>
      <c r="R19" s="18"/>
      <c r="S19" s="18"/>
      <c r="T19" s="18"/>
    </row>
    <row r="20" spans="2:20" ht="18.600000000000001" thickBot="1" x14ac:dyDescent="0.35">
      <c r="B20" s="78"/>
      <c r="C20" s="79"/>
      <c r="D20" s="79"/>
      <c r="E20" s="79"/>
      <c r="F20" s="79"/>
      <c r="G20" s="79"/>
      <c r="H20" s="80"/>
      <c r="I20" s="18"/>
      <c r="J20" s="131"/>
      <c r="K20" s="21"/>
      <c r="L20" s="21"/>
      <c r="M20" s="18"/>
      <c r="N20" s="18"/>
      <c r="O20" s="142"/>
      <c r="P20" s="18"/>
      <c r="Q20" s="18"/>
      <c r="R20" s="18"/>
      <c r="S20" s="18"/>
      <c r="T20" s="18"/>
    </row>
    <row r="21" spans="2:20" ht="18.600000000000001" thickBot="1" x14ac:dyDescent="0.4">
      <c r="B21" s="81" t="s">
        <v>79</v>
      </c>
      <c r="C21" s="82">
        <f>C7+1</f>
        <v>1</v>
      </c>
      <c r="D21" s="116"/>
      <c r="E21" s="117"/>
      <c r="F21" s="117"/>
      <c r="G21" s="117"/>
      <c r="H21" s="84"/>
      <c r="I21" s="194"/>
      <c r="J21" s="143"/>
      <c r="K21" s="47"/>
      <c r="L21" s="46"/>
      <c r="M21" s="18"/>
      <c r="N21" s="18"/>
      <c r="O21" s="132"/>
      <c r="P21" s="18"/>
      <c r="Q21" s="18"/>
      <c r="R21" s="18"/>
      <c r="S21" s="18"/>
      <c r="T21" s="18"/>
    </row>
    <row r="22" spans="2:20" ht="18.600000000000001" thickBot="1" x14ac:dyDescent="0.35">
      <c r="B22" s="86"/>
      <c r="C22" s="87"/>
      <c r="D22" s="87"/>
      <c r="E22" s="87"/>
      <c r="F22" s="87"/>
      <c r="G22" s="87"/>
      <c r="H22" s="88"/>
      <c r="I22" s="194"/>
      <c r="J22" s="264" t="s">
        <v>142</v>
      </c>
      <c r="K22" s="265"/>
      <c r="L22" s="265"/>
      <c r="M22" s="177"/>
      <c r="N22" s="18"/>
      <c r="O22" s="132"/>
      <c r="P22" s="18"/>
      <c r="Q22" s="18"/>
      <c r="R22" s="18"/>
      <c r="S22" s="18"/>
      <c r="T22" s="18"/>
    </row>
    <row r="23" spans="2:20" ht="18" x14ac:dyDescent="0.3">
      <c r="B23" s="86"/>
      <c r="C23" s="87"/>
      <c r="D23" s="87"/>
      <c r="E23" s="87"/>
      <c r="F23" s="87"/>
      <c r="G23" s="87"/>
      <c r="H23" s="88"/>
      <c r="I23" s="194"/>
      <c r="J23" s="300" t="s">
        <v>0</v>
      </c>
      <c r="K23" s="301"/>
      <c r="L23" s="301"/>
      <c r="M23" s="184" t="s">
        <v>1</v>
      </c>
      <c r="N23" s="184" t="s">
        <v>10</v>
      </c>
      <c r="O23" s="25"/>
      <c r="P23" s="18"/>
      <c r="R23" s="18"/>
      <c r="S23" s="18"/>
      <c r="T23" s="18"/>
    </row>
    <row r="24" spans="2:20" ht="18" x14ac:dyDescent="0.3">
      <c r="B24" s="89" t="s">
        <v>80</v>
      </c>
      <c r="C24" s="182" t="s">
        <v>81</v>
      </c>
      <c r="D24" s="90" t="s">
        <v>50</v>
      </c>
      <c r="E24" s="182" t="s">
        <v>82</v>
      </c>
      <c r="F24" s="182" t="s">
        <v>83</v>
      </c>
      <c r="G24" s="182" t="s">
        <v>102</v>
      </c>
      <c r="H24" s="91" t="s">
        <v>103</v>
      </c>
      <c r="I24" s="18"/>
      <c r="J24" s="306" t="s">
        <v>38</v>
      </c>
      <c r="K24" s="307"/>
      <c r="L24" s="307"/>
      <c r="M24" s="180" t="s">
        <v>153</v>
      </c>
      <c r="N24" s="150">
        <f>CEILING(IF(OR(C10=Q16,C10=Q17),0.5*C11,IF(C10=Q18,1,C11)),1)</f>
        <v>1</v>
      </c>
      <c r="O24" s="25"/>
      <c r="P24" s="18"/>
      <c r="R24" s="18"/>
      <c r="S24" s="18"/>
      <c r="T24" s="18"/>
    </row>
    <row r="25" spans="2:20" ht="18" x14ac:dyDescent="0.3">
      <c r="B25" s="92" t="s">
        <v>84</v>
      </c>
      <c r="C25" s="33" t="s">
        <v>14</v>
      </c>
      <c r="D25" s="114">
        <v>0</v>
      </c>
      <c r="E25" s="34">
        <f>K6-IF(E29=0,0,IF(C29=Q11,E29,IF(C29=Q12,E29+2,E29+3)))-IF(E28=0,0,IF(C28=Q11,E28,IF(C28=Q12,E28+2,E28+3)))-IF(E27=0,0,IF(C27=Q11,E27,IF(C27=Q12,E27+2,E27+3)))-IF(E26=0,0,IF(C26=Q11,E26,IF(C26=Q12,E26+2,E26+3)))-44-IF(C25=Q12,2,IF(C25=Q13,3,0))-C7*V2</f>
        <v>2508</v>
      </c>
      <c r="F25" s="93">
        <f>IF(C25=$Q$13,$K$5-63,IF(C25=$Q$12,$K$5-62,$K$5-60))</f>
        <v>579</v>
      </c>
      <c r="G25" s="94">
        <f>IF(C10=Q18,2,$C$11)</f>
        <v>2</v>
      </c>
      <c r="H25" s="95">
        <f>E25*F25*D25*G25/1000000</f>
        <v>0</v>
      </c>
      <c r="I25" s="194">
        <f>IF(E25&lt;&gt;0,1,0)</f>
        <v>1</v>
      </c>
      <c r="J25" s="252" t="s">
        <v>189</v>
      </c>
      <c r="K25" s="253"/>
      <c r="L25" s="253"/>
      <c r="M25" s="172" t="s">
        <v>154</v>
      </c>
      <c r="N25" s="150">
        <f>M11*2+M12*2+M13*2</f>
        <v>8</v>
      </c>
      <c r="O25" s="25"/>
      <c r="P25" s="18"/>
      <c r="R25" s="18"/>
      <c r="S25" s="18"/>
      <c r="T25" s="18"/>
    </row>
    <row r="26" spans="2:20" ht="18" x14ac:dyDescent="0.3">
      <c r="B26" s="92" t="s">
        <v>85</v>
      </c>
      <c r="C26" s="33" t="s">
        <v>12</v>
      </c>
      <c r="D26" s="114">
        <v>0</v>
      </c>
      <c r="E26" s="35">
        <v>0</v>
      </c>
      <c r="F26" s="93">
        <f>IF(C26=$Q$13,$K$5-63,IF(C26=$Q$12,$K$5-62,$K$5-60))</f>
        <v>582</v>
      </c>
      <c r="G26" s="94">
        <f>IF(E26=0,0,IF($C$10=$Q$18,2,$C$11))</f>
        <v>0</v>
      </c>
      <c r="H26" s="95">
        <f t="shared" ref="H26:H29" si="1">E26*F26*D26*G26/1000000</f>
        <v>0</v>
      </c>
      <c r="I26" s="194">
        <f>IF(E26&lt;&gt;0,1,0)</f>
        <v>0</v>
      </c>
      <c r="J26" s="306" t="s">
        <v>53</v>
      </c>
      <c r="K26" s="307"/>
      <c r="L26" s="307"/>
      <c r="M26" s="174" t="s">
        <v>155</v>
      </c>
      <c r="N26" s="155">
        <f>ROUNDUP((IF(C25=Q12,(E25+F25)*2*G25,0)+IF(C26=Q12,(E26+F26)*2*G26,0)+IF(C27=Q12,(E27+F27)*2*G27,0)+IF(C28=Q12,(E28+F28)*2*G28,0)+IF(C29=Q12,(E29+F29)*2*G29,0))/1000,0)</f>
        <v>0</v>
      </c>
      <c r="O26" s="25"/>
      <c r="P26" s="18"/>
      <c r="R26" s="18"/>
      <c r="S26" s="18"/>
      <c r="T26" s="18"/>
    </row>
    <row r="27" spans="2:20" ht="18" x14ac:dyDescent="0.3">
      <c r="B27" s="92" t="s">
        <v>86</v>
      </c>
      <c r="C27" s="33" t="s">
        <v>12</v>
      </c>
      <c r="D27" s="114">
        <v>0</v>
      </c>
      <c r="E27" s="35">
        <v>0</v>
      </c>
      <c r="F27" s="93">
        <f>IF(C27=$Q$13,$K$5-63,IF(C27=$Q$12,$K$5-62,$K$5-60))</f>
        <v>582</v>
      </c>
      <c r="G27" s="94">
        <f>IF(E27=0,0,IF($C$10=$Q$18,2,$C$11))</f>
        <v>0</v>
      </c>
      <c r="H27" s="95">
        <f t="shared" si="1"/>
        <v>0</v>
      </c>
      <c r="I27" s="194">
        <f>IF(E27&lt;&gt;0,1,0)</f>
        <v>0</v>
      </c>
      <c r="J27" s="308" t="s">
        <v>54</v>
      </c>
      <c r="K27" s="309"/>
      <c r="L27" s="309"/>
      <c r="M27" s="174" t="s">
        <v>156</v>
      </c>
      <c r="N27" s="155">
        <f>ROUNDUP((IF(C25=Q13,(E25+F25)*2*G25,0)+IF(C26=Q13,(E26+F26)*2*G26,0)+IF(C27=Q13,(E27+F27)*2*G27,0)+IF(C28=Q13,(E28+F28)*2*G28,0)+IF(C29=Q13,(E29+F29)*2*G29,0))/1000,0)</f>
        <v>13</v>
      </c>
      <c r="O27" s="25"/>
      <c r="P27" s="18"/>
      <c r="R27" s="18"/>
      <c r="S27" s="18"/>
      <c r="T27" s="18"/>
    </row>
    <row r="28" spans="2:20" ht="18" x14ac:dyDescent="0.3">
      <c r="B28" s="92" t="s">
        <v>87</v>
      </c>
      <c r="C28" s="33" t="s">
        <v>14</v>
      </c>
      <c r="D28" s="114">
        <v>0</v>
      </c>
      <c r="E28" s="35">
        <v>0</v>
      </c>
      <c r="F28" s="93">
        <f>IF(C28=$Q$13,$K$5-63,IF(C28=$Q$12,$K$5-62,$K$5-60))</f>
        <v>579</v>
      </c>
      <c r="G28" s="94">
        <f>IF(E28=0,0,IF($C$10=$Q$18,2,$C$11))</f>
        <v>0</v>
      </c>
      <c r="H28" s="95">
        <f t="shared" si="1"/>
        <v>0</v>
      </c>
      <c r="I28" s="194">
        <f>IF(E28&lt;&gt;0,1,0)</f>
        <v>0</v>
      </c>
      <c r="J28" s="306" t="s">
        <v>52</v>
      </c>
      <c r="K28" s="307"/>
      <c r="L28" s="307"/>
      <c r="M28" s="174" t="s">
        <v>157</v>
      </c>
      <c r="N28" s="150">
        <f>IF(C12=Q38,N25,0)</f>
        <v>0</v>
      </c>
      <c r="O28" s="25"/>
      <c r="P28" s="18"/>
      <c r="Q28" s="18"/>
      <c r="R28" s="18"/>
      <c r="S28" s="18"/>
      <c r="T28" s="18"/>
    </row>
    <row r="29" spans="2:20" ht="18.600000000000001" thickBot="1" x14ac:dyDescent="0.35">
      <c r="B29" s="99" t="s">
        <v>88</v>
      </c>
      <c r="C29" s="33" t="s">
        <v>14</v>
      </c>
      <c r="D29" s="114">
        <v>0</v>
      </c>
      <c r="E29" s="35">
        <v>0</v>
      </c>
      <c r="F29" s="93">
        <f>IF(C29=$Q$13,$K$5-63,IF(C29=$Q$12,$K$5-62,$K$5-60))</f>
        <v>579</v>
      </c>
      <c r="G29" s="94">
        <f>IF(E29=0,0,IF($C$10=$Q$18,2,$C$11))</f>
        <v>0</v>
      </c>
      <c r="H29" s="95">
        <f t="shared" si="1"/>
        <v>0</v>
      </c>
      <c r="I29" s="194">
        <f>IF(E29&lt;&gt;0,1,0)</f>
        <v>0</v>
      </c>
      <c r="J29" s="252" t="s">
        <v>122</v>
      </c>
      <c r="K29" s="253"/>
      <c r="L29" s="253"/>
      <c r="M29" s="173" t="s">
        <v>158</v>
      </c>
      <c r="N29" s="189">
        <f>IF(C12=Q39,N25,0)</f>
        <v>0</v>
      </c>
      <c r="O29" s="25"/>
      <c r="P29" s="18"/>
      <c r="Q29" s="18"/>
      <c r="R29" s="18"/>
      <c r="S29" s="18"/>
      <c r="T29" s="18"/>
    </row>
    <row r="30" spans="2:20" ht="18.600000000000001" thickBot="1" x14ac:dyDescent="0.35">
      <c r="B30" s="86"/>
      <c r="C30" s="87"/>
      <c r="D30" s="87"/>
      <c r="E30" s="234" t="s">
        <v>51</v>
      </c>
      <c r="F30" s="234"/>
      <c r="G30" s="235"/>
      <c r="H30" s="100">
        <f>SUM(H25:H29)</f>
        <v>0</v>
      </c>
      <c r="I30" s="18"/>
      <c r="J30" s="313" t="s">
        <v>48</v>
      </c>
      <c r="K30" s="314"/>
      <c r="L30" s="314"/>
      <c r="M30" s="172" t="s">
        <v>159</v>
      </c>
      <c r="N30" s="152">
        <f>IF(C12=Q41,ROUNDUP(L10*M10/1000,0),0)</f>
        <v>0</v>
      </c>
      <c r="O30" s="25"/>
      <c r="P30" s="18"/>
      <c r="Q30" s="18"/>
      <c r="R30" s="18"/>
      <c r="S30" s="18"/>
      <c r="T30" s="18"/>
    </row>
    <row r="31" spans="2:20" ht="18" x14ac:dyDescent="0.3">
      <c r="B31" s="86"/>
      <c r="C31" s="336" t="str">
        <f>IF((SUM(I25:I29)/C21)&lt;&gt;1,Q54,Q55)</f>
        <v>Верно внесены высоты вставок</v>
      </c>
      <c r="D31" s="337"/>
      <c r="E31" s="183">
        <f>IF(C31=Q55,1,0)</f>
        <v>1</v>
      </c>
      <c r="F31" s="183"/>
      <c r="G31" s="183"/>
      <c r="H31" s="88"/>
      <c r="I31" s="18"/>
      <c r="J31" s="313" t="s">
        <v>104</v>
      </c>
      <c r="K31" s="314"/>
      <c r="L31" s="314"/>
      <c r="M31" s="172" t="s">
        <v>160</v>
      </c>
      <c r="N31" s="152">
        <f>IF(C12=Q40,ROUNDUP(L10*M10/1000,0),0)</f>
        <v>11</v>
      </c>
      <c r="O31" s="25"/>
      <c r="P31" s="18"/>
      <c r="Q31" s="61">
        <v>0</v>
      </c>
      <c r="R31" s="18"/>
      <c r="S31" s="18"/>
      <c r="T31" s="18"/>
    </row>
    <row r="32" spans="2:20" ht="18.600000000000001" thickBot="1" x14ac:dyDescent="0.35">
      <c r="B32" s="86"/>
      <c r="C32" s="87"/>
      <c r="D32" s="87"/>
      <c r="E32" s="87"/>
      <c r="F32" s="87"/>
      <c r="G32" s="87"/>
      <c r="H32" s="88"/>
      <c r="I32" s="18"/>
      <c r="J32" s="334" t="s">
        <v>115</v>
      </c>
      <c r="K32" s="335"/>
      <c r="L32" s="335"/>
      <c r="M32" s="146" t="s">
        <v>161</v>
      </c>
      <c r="N32" s="156">
        <f>IF(N31&gt;0,M10*2,0)</f>
        <v>8</v>
      </c>
      <c r="O32" s="25"/>
      <c r="P32" s="18"/>
      <c r="Q32" s="61">
        <v>1</v>
      </c>
      <c r="R32" s="18"/>
      <c r="S32" s="18"/>
      <c r="T32" s="18"/>
    </row>
    <row r="33" spans="2:20" ht="18" x14ac:dyDescent="0.3">
      <c r="B33" s="86"/>
      <c r="C33" s="103"/>
      <c r="D33" s="103"/>
      <c r="E33" s="104"/>
      <c r="F33" s="104"/>
      <c r="G33" s="104"/>
      <c r="H33" s="88"/>
      <c r="I33" s="18"/>
      <c r="J33" s="128"/>
      <c r="K33" s="119"/>
      <c r="L33" s="293"/>
      <c r="M33" s="293"/>
      <c r="N33" s="293"/>
      <c r="O33" s="25"/>
      <c r="P33" s="18"/>
      <c r="Q33" s="61">
        <v>2</v>
      </c>
      <c r="R33" s="18"/>
      <c r="S33" s="18"/>
      <c r="T33" s="18"/>
    </row>
    <row r="34" spans="2:20" ht="18" x14ac:dyDescent="0.3">
      <c r="B34" s="86"/>
      <c r="C34" s="87"/>
      <c r="D34" s="87"/>
      <c r="E34" s="87"/>
      <c r="F34" s="87"/>
      <c r="G34" s="87"/>
      <c r="H34" s="25"/>
      <c r="I34" s="18"/>
      <c r="J34" s="128"/>
      <c r="K34" s="119"/>
      <c r="L34" s="18"/>
      <c r="M34" s="18"/>
      <c r="N34" s="18"/>
      <c r="O34" s="25"/>
      <c r="P34" s="18"/>
      <c r="Q34" s="61">
        <v>3</v>
      </c>
      <c r="R34" s="18"/>
      <c r="S34" s="18"/>
      <c r="T34" s="18"/>
    </row>
    <row r="35" spans="2:20" ht="18" x14ac:dyDescent="0.3">
      <c r="B35" s="86"/>
      <c r="C35" s="299" t="str">
        <f>IF(AND(SUM(I25:I29)/C21=1,E29=0,C21&lt;&gt;1),Q58,Q59)</f>
        <v xml:space="preserve"> </v>
      </c>
      <c r="D35" s="299"/>
      <c r="E35" s="104"/>
      <c r="F35" s="104"/>
      <c r="G35" s="104"/>
      <c r="H35" s="25"/>
      <c r="I35" s="18"/>
      <c r="J35" s="128"/>
      <c r="K35" s="119"/>
      <c r="L35" s="47"/>
      <c r="M35" s="47"/>
      <c r="N35" s="120"/>
      <c r="O35" s="97"/>
      <c r="P35" s="18"/>
      <c r="Q35" s="61">
        <v>4</v>
      </c>
      <c r="R35" s="18"/>
      <c r="S35" s="18"/>
      <c r="T35" s="18"/>
    </row>
    <row r="36" spans="2:20" ht="18" x14ac:dyDescent="0.3">
      <c r="B36" s="86"/>
      <c r="C36" s="87"/>
      <c r="D36" s="87"/>
      <c r="E36" s="87"/>
      <c r="F36" s="87"/>
      <c r="G36" s="87"/>
      <c r="H36" s="25"/>
      <c r="I36" s="18"/>
      <c r="J36" s="128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0" ht="18" x14ac:dyDescent="0.3">
      <c r="B37" s="86"/>
      <c r="C37" s="87"/>
      <c r="D37" s="87"/>
      <c r="E37" s="87"/>
      <c r="F37" s="87"/>
      <c r="G37" s="87"/>
      <c r="H37" s="25"/>
      <c r="I37" s="18"/>
      <c r="J37" s="128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0" ht="18" x14ac:dyDescent="0.35">
      <c r="B38" s="105"/>
      <c r="C38" s="106"/>
      <c r="D38" s="183"/>
      <c r="E38" s="183"/>
      <c r="F38" s="183"/>
      <c r="G38" s="183"/>
      <c r="H38" s="25"/>
      <c r="I38" s="18"/>
      <c r="J38" s="128"/>
      <c r="K38" s="18"/>
      <c r="L38" s="18"/>
      <c r="M38" s="18"/>
      <c r="N38" s="18"/>
      <c r="O38" s="25"/>
      <c r="P38" s="18"/>
      <c r="Q38" s="12" t="s">
        <v>52</v>
      </c>
      <c r="R38" s="18"/>
      <c r="S38" s="18"/>
      <c r="T38" s="18"/>
    </row>
    <row r="39" spans="2:20" x14ac:dyDescent="0.3">
      <c r="B39" s="26"/>
      <c r="C39" s="19"/>
      <c r="D39" s="19"/>
      <c r="E39" s="19"/>
      <c r="F39" s="19"/>
      <c r="G39" s="19"/>
      <c r="H39" s="27"/>
      <c r="I39" s="18"/>
      <c r="J39" s="128"/>
      <c r="K39" s="18"/>
      <c r="L39" s="18"/>
      <c r="M39" s="18"/>
      <c r="N39" s="18"/>
      <c r="O39" s="25"/>
      <c r="P39" s="18"/>
      <c r="Q39" s="102" t="s">
        <v>111</v>
      </c>
      <c r="R39" s="18"/>
      <c r="S39" s="18"/>
      <c r="T39" s="18"/>
    </row>
    <row r="40" spans="2:20" ht="18" x14ac:dyDescent="0.35">
      <c r="B40" s="105"/>
      <c r="C40" s="106"/>
      <c r="D40" s="183"/>
      <c r="E40" s="183"/>
      <c r="F40" s="183"/>
      <c r="G40" s="183"/>
      <c r="H40" s="84"/>
      <c r="I40" s="18"/>
      <c r="J40" s="128"/>
      <c r="K40" s="119"/>
      <c r="L40" s="47"/>
      <c r="M40" s="47"/>
      <c r="N40" s="120"/>
      <c r="O40" s="97"/>
      <c r="P40" s="18"/>
      <c r="Q40" s="102" t="s">
        <v>104</v>
      </c>
      <c r="R40" s="18"/>
      <c r="S40" s="18"/>
      <c r="T40" s="18"/>
    </row>
    <row r="41" spans="2:20" ht="18" x14ac:dyDescent="0.35">
      <c r="B41" s="105"/>
      <c r="C41" s="106"/>
      <c r="D41" s="183"/>
      <c r="E41" s="183"/>
      <c r="F41" s="183"/>
      <c r="G41" s="183"/>
      <c r="H41" s="84"/>
      <c r="I41" s="18"/>
      <c r="J41" s="128"/>
      <c r="K41" s="119"/>
      <c r="L41" s="47"/>
      <c r="M41" s="47"/>
      <c r="N41" s="120"/>
      <c r="O41" s="97"/>
      <c r="P41" s="18"/>
      <c r="Q41" s="12" t="s">
        <v>48</v>
      </c>
      <c r="R41" s="18"/>
      <c r="S41" s="18"/>
      <c r="T41" s="18"/>
    </row>
    <row r="42" spans="2:20" ht="18" x14ac:dyDescent="0.35">
      <c r="B42" s="105"/>
      <c r="C42" s="106"/>
      <c r="D42" s="183"/>
      <c r="E42" s="183"/>
      <c r="F42" s="183"/>
      <c r="G42" s="183"/>
      <c r="H42" s="84"/>
      <c r="I42" s="18"/>
      <c r="J42" s="128"/>
      <c r="K42" s="119"/>
      <c r="L42" s="47"/>
      <c r="M42" s="18"/>
      <c r="N42" s="18"/>
      <c r="O42" s="25"/>
      <c r="P42" s="18"/>
      <c r="Q42" s="18"/>
      <c r="R42" s="18"/>
      <c r="S42" s="18"/>
      <c r="T42" s="18"/>
    </row>
    <row r="43" spans="2:20" ht="18.600000000000001" thickBot="1" x14ac:dyDescent="0.4">
      <c r="B43" s="110"/>
      <c r="C43" s="111"/>
      <c r="D43" s="112"/>
      <c r="E43" s="112"/>
      <c r="F43" s="112"/>
      <c r="G43" s="112"/>
      <c r="H43" s="113"/>
      <c r="I43" s="195"/>
      <c r="J43" s="169"/>
      <c r="K43" s="297"/>
      <c r="L43" s="297"/>
      <c r="M43" s="297"/>
      <c r="N43" s="297"/>
      <c r="O43" s="196"/>
      <c r="P43" s="18"/>
      <c r="Q43" s="18"/>
      <c r="R43" s="18"/>
      <c r="S43" s="18"/>
      <c r="T43" s="18"/>
    </row>
    <row r="44" spans="2:20" x14ac:dyDescent="0.3">
      <c r="P44" s="18"/>
      <c r="Q44" s="18"/>
      <c r="R44" s="18"/>
      <c r="S44" s="18"/>
      <c r="T44" s="18"/>
    </row>
    <row r="45" spans="2:20" x14ac:dyDescent="0.3">
      <c r="P45" s="18"/>
      <c r="Q45" s="18"/>
      <c r="R45" s="18"/>
      <c r="S45" s="18"/>
      <c r="T45" s="18"/>
    </row>
    <row r="46" spans="2:20" x14ac:dyDescent="0.3">
      <c r="P46" s="18"/>
      <c r="Q46" s="69" t="s">
        <v>141</v>
      </c>
      <c r="R46" s="18"/>
      <c r="S46" s="18"/>
      <c r="T46" s="18"/>
    </row>
    <row r="47" spans="2:20" x14ac:dyDescent="0.3">
      <c r="Q47" s="69" t="s">
        <v>136</v>
      </c>
      <c r="R47" s="18"/>
      <c r="S47" s="18"/>
      <c r="T47" s="18"/>
    </row>
    <row r="48" spans="2:20" x14ac:dyDescent="0.3">
      <c r="R48" s="18"/>
      <c r="S48" s="18"/>
      <c r="T48" s="18"/>
    </row>
    <row r="49" spans="16:20" ht="15" customHeight="1" x14ac:dyDescent="0.3">
      <c r="R49" s="18"/>
      <c r="S49" s="18"/>
      <c r="T49" s="18"/>
    </row>
    <row r="50" spans="16:20" ht="15" customHeight="1" x14ac:dyDescent="0.3">
      <c r="Q50" s="12" t="s">
        <v>139</v>
      </c>
      <c r="R50" s="18"/>
      <c r="S50" s="18"/>
      <c r="T50" s="18"/>
    </row>
    <row r="51" spans="16:20" ht="15" customHeight="1" x14ac:dyDescent="0.3">
      <c r="Q51" s="69" t="s">
        <v>136</v>
      </c>
      <c r="R51" s="18"/>
      <c r="S51" s="18"/>
      <c r="T51" s="18"/>
    </row>
    <row r="52" spans="16:20" x14ac:dyDescent="0.3">
      <c r="P52" s="58" t="e">
        <f>Подвесная!R52</f>
        <v>#REF!</v>
      </c>
      <c r="Q52" s="18"/>
      <c r="R52" s="18"/>
      <c r="S52" s="18"/>
      <c r="T52" s="18"/>
    </row>
    <row r="53" spans="16:20" x14ac:dyDescent="0.3">
      <c r="P53" s="58" t="e">
        <f>Подвесная!R53</f>
        <v>#REF!</v>
      </c>
      <c r="Q53" s="18"/>
      <c r="R53" s="18"/>
      <c r="S53" s="18"/>
      <c r="T53" s="18"/>
    </row>
    <row r="54" spans="16:20" ht="18" x14ac:dyDescent="0.3">
      <c r="P54" s="58" t="e">
        <f>Подвесная!R54</f>
        <v>#REF!</v>
      </c>
      <c r="Q54" s="98" t="s">
        <v>91</v>
      </c>
      <c r="R54" s="18"/>
      <c r="S54" s="18"/>
      <c r="T54" s="18"/>
    </row>
    <row r="55" spans="16:20" ht="18" x14ac:dyDescent="0.3">
      <c r="P55" s="58" t="e">
        <f>Подвесная!R55</f>
        <v>#REF!</v>
      </c>
      <c r="Q55" s="98" t="s">
        <v>92</v>
      </c>
      <c r="R55" s="18"/>
      <c r="S55" s="18"/>
      <c r="T55" s="18"/>
    </row>
    <row r="56" spans="16:20" x14ac:dyDescent="0.3">
      <c r="P56" s="58" t="e">
        <f>Подвесная!R56</f>
        <v>#REF!</v>
      </c>
      <c r="Q56" s="18"/>
      <c r="R56" s="18"/>
      <c r="S56" s="18"/>
      <c r="T56" s="18"/>
    </row>
    <row r="57" spans="16:20" x14ac:dyDescent="0.3">
      <c r="P57" s="58" t="e">
        <f>Подвесная!R57</f>
        <v>#REF!</v>
      </c>
      <c r="Q57" s="18"/>
      <c r="R57" s="18"/>
      <c r="S57" s="18"/>
      <c r="T57" s="18"/>
    </row>
    <row r="58" spans="16:20" ht="18" x14ac:dyDescent="0.35">
      <c r="P58" s="58" t="e">
        <f>Подвесная!R58</f>
        <v>#REF!</v>
      </c>
      <c r="Q58" s="109" t="s">
        <v>101</v>
      </c>
      <c r="R58" s="18"/>
      <c r="S58" s="18"/>
      <c r="T58" s="18"/>
    </row>
    <row r="59" spans="16:20" x14ac:dyDescent="0.3">
      <c r="P59" s="58" t="e">
        <f>Подвесная!R59</f>
        <v>#REF!</v>
      </c>
      <c r="Q59" s="12" t="s">
        <v>65</v>
      </c>
      <c r="R59" s="18"/>
      <c r="S59" s="18"/>
      <c r="T59" s="18"/>
    </row>
    <row r="60" spans="16:20" x14ac:dyDescent="0.3">
      <c r="Q60" s="18"/>
      <c r="R60" s="18"/>
      <c r="S60" s="18"/>
      <c r="T60" s="18"/>
    </row>
    <row r="61" spans="16:20" x14ac:dyDescent="0.3">
      <c r="Q61" s="18"/>
      <c r="R61" s="18"/>
      <c r="S61" s="18"/>
      <c r="T61" s="18"/>
    </row>
    <row r="62" spans="16:20" x14ac:dyDescent="0.3">
      <c r="Q62" s="18"/>
      <c r="R62" s="18"/>
      <c r="S62" s="18"/>
      <c r="T62" s="18"/>
    </row>
  </sheetData>
  <sheetProtection algorithmName="SHA-512" hashValue="0e7HhnrcG7CVzgYE06tBkOk6uO9OzYw1fuRF94kTq3p1Qx8VX4D0WJasPljyQRufB/2uRwIU+AeI458o2mKZCw==" saltValue="L8e28L6kham8b3NTaBJLdQ==" spinCount="100000" sheet="1" selectLockedCells="1"/>
  <mergeCells count="36">
    <mergeCell ref="J32:L32"/>
    <mergeCell ref="C31:D31"/>
    <mergeCell ref="J29:L29"/>
    <mergeCell ref="J30:L30"/>
    <mergeCell ref="J31:L31"/>
    <mergeCell ref="J27:L27"/>
    <mergeCell ref="E30:G30"/>
    <mergeCell ref="J22:L22"/>
    <mergeCell ref="D12:H12"/>
    <mergeCell ref="J18:O18"/>
    <mergeCell ref="B15:H17"/>
    <mergeCell ref="B14:H14"/>
    <mergeCell ref="O14:O15"/>
    <mergeCell ref="N14:N15"/>
    <mergeCell ref="J8:M8"/>
    <mergeCell ref="B3:C3"/>
    <mergeCell ref="D5:H5"/>
    <mergeCell ref="D6:H6"/>
    <mergeCell ref="D4:H4"/>
    <mergeCell ref="D8:H8"/>
    <mergeCell ref="J2:O2"/>
    <mergeCell ref="B1:O1"/>
    <mergeCell ref="K43:N43"/>
    <mergeCell ref="B2:H2"/>
    <mergeCell ref="D9:H9"/>
    <mergeCell ref="J3:K3"/>
    <mergeCell ref="D7:H7"/>
    <mergeCell ref="D10:H10"/>
    <mergeCell ref="D11:H11"/>
    <mergeCell ref="C35:D35"/>
    <mergeCell ref="J23:L23"/>
    <mergeCell ref="J24:L24"/>
    <mergeCell ref="J25:L25"/>
    <mergeCell ref="L33:N33"/>
    <mergeCell ref="J28:L28"/>
    <mergeCell ref="J26:L26"/>
  </mergeCells>
  <conditionalFormatting sqref="K21:L21 K5:K6 L16:N17 L15:M15 N24:N25 N28">
    <cfRule type="expression" dxfId="21" priority="11">
      <formula>$C$5=0</formula>
    </cfRule>
  </conditionalFormatting>
  <conditionalFormatting sqref="L10:N14">
    <cfRule type="expression" dxfId="20" priority="46">
      <formula>$C$5=0</formula>
    </cfRule>
  </conditionalFormatting>
  <conditionalFormatting sqref="D5:H6 D12:H12">
    <cfRule type="expression" dxfId="19" priority="13">
      <formula>$C5=0</formula>
    </cfRule>
  </conditionalFormatting>
  <conditionalFormatting sqref="O10">
    <cfRule type="expression" dxfId="18" priority="40">
      <formula>$C$5=0</formula>
    </cfRule>
  </conditionalFormatting>
  <conditionalFormatting sqref="O11:O13">
    <cfRule type="expression" dxfId="17" priority="37">
      <formula>$C$5=0</formula>
    </cfRule>
  </conditionalFormatting>
  <conditionalFormatting sqref="O14">
    <cfRule type="expression" dxfId="16" priority="36">
      <formula>$C$5=0</formula>
    </cfRule>
  </conditionalFormatting>
  <conditionalFormatting sqref="O16:O17">
    <cfRule type="expression" dxfId="15" priority="35">
      <formula>$C$5=0</formula>
    </cfRule>
  </conditionalFormatting>
  <conditionalFormatting sqref="O43">
    <cfRule type="expression" dxfId="14" priority="34">
      <formula>$C$5=0</formula>
    </cfRule>
  </conditionalFormatting>
  <conditionalFormatting sqref="D5:H5">
    <cfRule type="cellIs" dxfId="13" priority="32" operator="equal">
      <formula>$Q$46</formula>
    </cfRule>
  </conditionalFormatting>
  <conditionalFormatting sqref="C12">
    <cfRule type="cellIs" dxfId="12" priority="19" operator="greaterThan">
      <formula>0</formula>
    </cfRule>
  </conditionalFormatting>
  <conditionalFormatting sqref="D12:H12">
    <cfRule type="expression" dxfId="11" priority="18">
      <formula>$C$4=0</formula>
    </cfRule>
  </conditionalFormatting>
  <conditionalFormatting sqref="K6">
    <cfRule type="expression" dxfId="10" priority="48">
      <formula>$K$6&gt;3200</formula>
    </cfRule>
  </conditionalFormatting>
  <conditionalFormatting sqref="K5">
    <cfRule type="expression" dxfId="9" priority="12">
      <formula>OR($K$5&lt;200,$K$5&gt;1200)</formula>
    </cfRule>
  </conditionalFormatting>
  <conditionalFormatting sqref="N26:N27">
    <cfRule type="expression" dxfId="8" priority="5">
      <formula>$C$5=0</formula>
    </cfRule>
  </conditionalFormatting>
  <conditionalFormatting sqref="D7 D11:D12 E25 F25:H29 H30 K5:K6 N29:N32">
    <cfRule type="expression" dxfId="7" priority="3">
      <formula>$C$5=0</formula>
    </cfRule>
  </conditionalFormatting>
  <conditionalFormatting sqref="C8">
    <cfRule type="cellIs" dxfId="6" priority="2" operator="greaterThan">
      <formula>0</formula>
    </cfRule>
  </conditionalFormatting>
  <conditionalFormatting sqref="D8:H8">
    <cfRule type="expression" dxfId="5" priority="1">
      <formula>$C$6=0</formula>
    </cfRule>
  </conditionalFormatting>
  <conditionalFormatting sqref="C31:D31">
    <cfRule type="expression" dxfId="4" priority="198">
      <formula>$C$31=$Q$54</formula>
    </cfRule>
  </conditionalFormatting>
  <conditionalFormatting sqref="C35">
    <cfRule type="expression" dxfId="3" priority="199">
      <formula>$C$35=$Q$58</formula>
    </cfRule>
  </conditionalFormatting>
  <conditionalFormatting sqref="C31">
    <cfRule type="expression" dxfId="2" priority="200">
      <formula>$C$31=$Q$55</formula>
    </cfRule>
  </conditionalFormatting>
  <conditionalFormatting sqref="D6:H6">
    <cfRule type="expression" dxfId="1" priority="201">
      <formula>$D$6=$Q$50</formula>
    </cfRule>
  </conditionalFormatting>
  <conditionalFormatting sqref="C11">
    <cfRule type="expression" dxfId="0" priority="202">
      <formula>$C$10=$Q$18</formula>
    </cfRule>
  </conditionalFormatting>
  <dataValidations count="7">
    <dataValidation type="list" allowBlank="1" showInputMessage="1" showErrorMessage="1" sqref="C10">
      <formula1>$Q$16:$Q$19</formula1>
    </dataValidation>
    <dataValidation type="whole" allowBlank="1" showInputMessage="1" showErrorMessage="1" sqref="C11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12">
      <formula1>$Q$38:$Q$41</formula1>
    </dataValidation>
    <dataValidation type="list" allowBlank="1" showInputMessage="1" showErrorMessage="1" sqref="C25:C29">
      <formula1>$Q$11:$Q$13</formula1>
    </dataValidation>
    <dataValidation type="list" allowBlank="1" showInputMessage="1" showErrorMessage="1" sqref="C9">
      <formula1>$P$52:$P$59</formula1>
    </dataValidation>
    <dataValidation type="list" allowBlank="1" showInputMessage="1" showErrorMessage="1" sqref="C8">
      <formula1>$T$2:$T$3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E31:G31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2015-02-14T09:33:23Z</cp:lastPrinted>
  <dcterms:created xsi:type="dcterms:W3CDTF">2015-02-11T05:31:15Z</dcterms:created>
  <dcterms:modified xsi:type="dcterms:W3CDTF">2022-02-11T14:04:27Z</dcterms:modified>
</cp:coreProperties>
</file>